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2.xml" ContentType="application/vnd.ms-office.activeX+xml"/>
  <Override PartName="/xl/activeX/activeX2.bin" ContentType="application/vnd.ms-office.activeX"/>
  <Override PartName="/xl/drawings/drawing5.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drawings/drawing6.xml" ContentType="application/vnd.openxmlformats-officedocument.drawing+xml"/>
  <Override PartName="/xl/activeX/activeX4.xml" ContentType="application/vnd.ms-office.activeX+xml"/>
  <Override PartName="/xl/activeX/activeX4.bin" ContentType="application/vnd.ms-office.activeX"/>
  <Override PartName="/xl/comments4.xml" ContentType="application/vnd.openxmlformats-officedocument.spreadsheetml.comments+xml"/>
  <Override PartName="/xl/drawings/drawing7.xml" ContentType="application/vnd.openxmlformats-officedocument.drawing+xml"/>
  <Override PartName="/xl/activeX/activeX5.xml" ContentType="application/vnd.ms-office.activeX+xml"/>
  <Override PartName="/xl/activeX/activeX5.bin" ContentType="application/vnd.ms-office.activeX"/>
  <Override PartName="/xl/comments5.xml" ContentType="application/vnd.openxmlformats-officedocument.spreadsheetml.comments+xml"/>
  <Override PartName="/xl/drawings/drawing8.xml" ContentType="application/vnd.openxmlformats-officedocument.drawing+xml"/>
  <Override PartName="/xl/activeX/activeX6.xml" ContentType="application/vnd.ms-office.activeX+xml"/>
  <Override PartName="/xl/activeX/activeX6.bin" ContentType="application/vnd.ms-office.activeX"/>
  <Override PartName="/xl/comments6.xml" ContentType="application/vnd.openxmlformats-officedocument.spreadsheetml.comments+xml"/>
  <Override PartName="/xl/drawings/drawing9.xml" ContentType="application/vnd.openxmlformats-officedocument.drawing+xml"/>
  <Override PartName="/xl/activeX/activeX7.xml" ContentType="application/vnd.ms-office.activeX+xml"/>
  <Override PartName="/xl/activeX/activeX7.bin" ContentType="application/vnd.ms-office.activeX"/>
  <Override PartName="/xl/comments7.xml" ContentType="application/vnd.openxmlformats-officedocument.spreadsheetml.comments+xml"/>
  <Override PartName="/xl/drawings/drawing10.xml" ContentType="application/vnd.openxmlformats-officedocument.drawing+xml"/>
  <Override PartName="/xl/activeX/activeX8.xml" ContentType="application/vnd.ms-office.activeX+xml"/>
  <Override PartName="/xl/activeX/activeX8.bin" ContentType="application/vnd.ms-office.activeX"/>
  <Override PartName="/xl/comments8.xml" ContentType="application/vnd.openxmlformats-officedocument.spreadsheetml.comments+xml"/>
  <Override PartName="/xl/drawings/drawing11.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12.xml" ContentType="application/vnd.openxmlformats-officedocument.drawing+xml"/>
  <Override PartName="/xl/activeX/activeX11.xml" ContentType="application/vnd.ms-office.activeX+xml"/>
  <Override PartName="/xl/activeX/activeX11.bin" ContentType="application/vnd.ms-office.activeX"/>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mc:AlternateContent xmlns:mc="http://schemas.openxmlformats.org/markup-compatibility/2006">
    <mc:Choice Requires="x15">
      <x15ac:absPath xmlns:x15ac="http://schemas.microsoft.com/office/spreadsheetml/2010/11/ac" url="C:\Users\Karina\Desktop\Información especialización\Proyecto grado INFORMACIÓN\Correcciones trabajo\Definitivo\6-7-2021-9,19\"/>
    </mc:Choice>
  </mc:AlternateContent>
  <xr:revisionPtr revIDLastSave="0" documentId="8_{2842CB18-8507-4007-BD1F-02923F816518}" xr6:coauthVersionLast="47" xr6:coauthVersionMax="47" xr10:uidLastSave="{00000000-0000-0000-0000-000000000000}"/>
  <bookViews>
    <workbookView xWindow="-120" yWindow="-120" windowWidth="20730" windowHeight="11160" tabRatio="1000" activeTab="8" xr2:uid="{00000000-000D-0000-FFFF-FFFF00000000}"/>
  </bookViews>
  <sheets>
    <sheet name="MENU" sheetId="28" r:id="rId1"/>
    <sheet name="Supuestos" sheetId="16" r:id="rId2"/>
    <sheet name="Inversion" sheetId="14" r:id="rId3"/>
    <sheet name="Ingresos" sheetId="12" r:id="rId4"/>
    <sheet name="Costos" sheetId="21" r:id="rId5"/>
    <sheet name="Nomina" sheetId="15" r:id="rId6"/>
    <sheet name="Gastos" sheetId="17" r:id="rId7"/>
    <sheet name="Capital de trabajo" sheetId="20" r:id="rId8"/>
    <sheet name="Creditos" sheetId="18" r:id="rId9"/>
    <sheet name="Valoracion" sheetId="22" r:id="rId10"/>
    <sheet name="BANCOS" sheetId="27" r:id="rId11"/>
    <sheet name="BG_P&amp;G" sheetId="13" r:id="rId12"/>
    <sheet name="Graficos" sheetId="24" r:id="rId13"/>
  </sheets>
  <externalReferences>
    <externalReference r:id="rId14"/>
    <externalReference r:id="rId15"/>
  </externalReferences>
  <definedNames>
    <definedName name="_xlnm._FilterDatabase" localSheetId="11" hidden="1">'BG_P&amp;G'!$B$8:$H$123</definedName>
    <definedName name="_TRM1">#REF!</definedName>
    <definedName name="_TRM2">#REF!</definedName>
    <definedName name="_TRM3">#REF!</definedName>
    <definedName name="_TRM4">#REF!</definedName>
    <definedName name="_TRM5">#REF!</definedName>
    <definedName name="Año">'[1]P&amp;G'!#REF!</definedName>
    <definedName name="_xlnm.Print_Area" localSheetId="11">'BG_P&amp;G'!$B$8:$O$124</definedName>
    <definedName name="_xlnm.Print_Area" localSheetId="4">Costos!$A$391:$H$1050</definedName>
    <definedName name="_xlnm.Print_Area" localSheetId="5">Nomina!$B$40:$U$149</definedName>
    <definedName name="busrisk">#REF!</definedName>
    <definedName name="CajaCom">[1]MO!#REF!</definedName>
    <definedName name="Capsialil">'[1]P&amp;G'!#REF!</definedName>
    <definedName name="captable">#REF!</definedName>
    <definedName name="CobroNoVencida">#REF!</definedName>
    <definedName name="CobroVenc30">#REF!</definedName>
    <definedName name="CobroVencMas30">#REF!</definedName>
    <definedName name="Cumplimiento_Vtas">#REF!</definedName>
    <definedName name="DTF">'[1]P&amp;G'!#REF!</definedName>
    <definedName name="Ecoajo">'[1]P&amp;G'!#REF!</definedName>
    <definedName name="Ecobrillo">'[1]P&amp;G'!#REF!</definedName>
    <definedName name="Ecomix">'[1]P&amp;G'!#REF!</definedName>
    <definedName name="Ecoruda">'[1]P&amp;G'!#REF!</definedName>
    <definedName name="Ecoswing">'[1]P&amp;G'!#REF!</definedName>
    <definedName name="finalbusrat">#REF!</definedName>
    <definedName name="finalrat">#REF!</definedName>
    <definedName name="finanrr">#REF!</definedName>
    <definedName name="FR">#REF!</definedName>
    <definedName name="fxcaplook">#REF!</definedName>
    <definedName name="Gasolina">'[1]Admon, Vtas y GF'!#REF!</definedName>
    <definedName name="ICBF">[1]MO!#REF!</definedName>
    <definedName name="inc_salarios">'[1]P&amp;G'!#REF!</definedName>
    <definedName name="Incremento_Arriendo">'[1]P&amp;G'!#REF!</definedName>
    <definedName name="Incremento_Servicos_Adtivos">'[1]P&amp;G'!#REF!</definedName>
    <definedName name="inflación">'[1]P&amp;G'!#REF!</definedName>
    <definedName name="Pension">[1]MO!#REF!</definedName>
    <definedName name="plotting.DialogEnd">[0]!plotting.DialogEnd</definedName>
    <definedName name="plotting.DialogOK">[0]!plotting.DialogOK</definedName>
    <definedName name="proj">[2]PRO!#REF!,[2]PRO!#REF!,[2]PRO!#REF!</definedName>
    <definedName name="proj1">[2]PRO!#REF!</definedName>
    <definedName name="proj2">[2]PRO!#REF!</definedName>
    <definedName name="proj3">[2]PRO!#REF!</definedName>
    <definedName name="proj4">[2]PRO!#REF!</definedName>
    <definedName name="ProtSoc">[1]MO!#REF!</definedName>
    <definedName name="ratpage">#REF!</definedName>
    <definedName name="Riesgo">[1]MO!#REF!</definedName>
    <definedName name="Salario_Mín">'[1]P&amp;G'!#REF!</definedName>
    <definedName name="Salud">[1]MO!#REF!</definedName>
    <definedName name="scorange">#REF!</definedName>
    <definedName name="SENA">[1]MO!#REF!</definedName>
    <definedName name="_xlnm.Print_Titles" localSheetId="4">Costos!$1050:$1050</definedName>
    <definedName name="TRM_inicial">'[1]Int. Ctes'!#REF!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48" i="12" l="1"/>
  <c r="D398" i="21"/>
  <c r="P13" i="21"/>
  <c r="D14" i="21"/>
  <c r="D13" i="21" s="1"/>
  <c r="O382" i="12"/>
  <c r="C756" i="12"/>
  <c r="C758" i="12"/>
  <c r="C588" i="12"/>
  <c r="C580" i="12"/>
  <c r="C572" i="12"/>
  <c r="C564" i="12"/>
  <c r="C556" i="12"/>
  <c r="C548" i="12"/>
  <c r="C540" i="12"/>
  <c r="C532" i="12"/>
  <c r="C524" i="12"/>
  <c r="C516" i="12"/>
  <c r="C508" i="12"/>
  <c r="C500" i="12"/>
  <c r="C492" i="12"/>
  <c r="C484" i="12"/>
  <c r="C438" i="12"/>
  <c r="O61" i="12"/>
  <c r="C476" i="12"/>
  <c r="C468" i="12"/>
  <c r="C460" i="12"/>
  <c r="C452" i="12"/>
  <c r="C436" i="12"/>
  <c r="C428" i="12"/>
  <c r="C420" i="12"/>
  <c r="C412" i="12"/>
  <c r="C404" i="12"/>
  <c r="C396" i="12"/>
  <c r="C393" i="12"/>
  <c r="O229" i="12" l="1"/>
  <c r="O72" i="12"/>
  <c r="D128" i="12"/>
  <c r="D120" i="12"/>
  <c r="C401" i="12"/>
  <c r="O16" i="12"/>
  <c r="O320" i="12"/>
  <c r="O312" i="12"/>
  <c r="O304" i="12"/>
  <c r="O296" i="12"/>
  <c r="O288" i="12"/>
  <c r="O280" i="12"/>
  <c r="O272" i="12"/>
  <c r="O264" i="12"/>
  <c r="O256" i="12"/>
  <c r="O248" i="12"/>
  <c r="O240" i="12"/>
  <c r="O232" i="12"/>
  <c r="O224" i="12"/>
  <c r="O216" i="12"/>
  <c r="O208" i="12"/>
  <c r="O200" i="12"/>
  <c r="O192" i="12"/>
  <c r="O184" i="12"/>
  <c r="O176" i="12"/>
  <c r="O168" i="12"/>
  <c r="O160" i="12"/>
  <c r="O152" i="12"/>
  <c r="O144" i="12"/>
  <c r="O136" i="12"/>
  <c r="O128" i="12"/>
  <c r="O120" i="12"/>
  <c r="O112" i="12"/>
  <c r="O104" i="12"/>
  <c r="O96" i="12"/>
  <c r="O88" i="12"/>
  <c r="O80" i="12"/>
  <c r="O64" i="12"/>
  <c r="O56" i="12"/>
  <c r="O48" i="12"/>
  <c r="O40" i="12"/>
  <c r="O32" i="12"/>
  <c r="O24" i="12"/>
  <c r="C394" i="12"/>
  <c r="C681" i="12"/>
  <c r="C751" i="12"/>
  <c r="O360" i="12"/>
  <c r="O368" i="12"/>
  <c r="N376" i="12"/>
  <c r="O376" i="12" s="1"/>
  <c r="C382" i="12"/>
  <c r="E228" i="14"/>
  <c r="J202" i="14"/>
  <c r="E196" i="14"/>
  <c r="E202" i="14"/>
  <c r="C200" i="14"/>
  <c r="C205" i="14"/>
  <c r="C204" i="14"/>
  <c r="C199" i="14"/>
  <c r="C198" i="14"/>
  <c r="C197" i="14"/>
  <c r="C196" i="14"/>
  <c r="D383" i="21"/>
  <c r="D375" i="21"/>
  <c r="D367" i="21"/>
  <c r="D359" i="21"/>
  <c r="D351" i="21"/>
  <c r="D343" i="21"/>
  <c r="D335" i="21"/>
  <c r="D327" i="21"/>
  <c r="D319" i="21"/>
  <c r="D311" i="21"/>
  <c r="D303" i="21"/>
  <c r="D295" i="21"/>
  <c r="D287" i="21"/>
  <c r="D279" i="21"/>
  <c r="D271" i="21"/>
  <c r="D263" i="21"/>
  <c r="D255" i="21"/>
  <c r="D247" i="21"/>
  <c r="D239" i="21"/>
  <c r="D231" i="21"/>
  <c r="D223" i="21"/>
  <c r="D215" i="21"/>
  <c r="D207" i="21"/>
  <c r="D199" i="21"/>
  <c r="D191" i="21"/>
  <c r="D183" i="21"/>
  <c r="D175" i="21"/>
  <c r="D167" i="21"/>
  <c r="D159" i="21"/>
  <c r="D151" i="21"/>
  <c r="D143" i="21"/>
  <c r="D135" i="21"/>
  <c r="D127" i="21"/>
  <c r="D119" i="21"/>
  <c r="D111" i="21"/>
  <c r="D103" i="21"/>
  <c r="D95" i="21"/>
  <c r="D87" i="21"/>
  <c r="D79" i="21"/>
  <c r="D71" i="21"/>
  <c r="D63" i="21"/>
  <c r="D55" i="21"/>
  <c r="D47" i="21"/>
  <c r="D39" i="21"/>
  <c r="D31" i="21"/>
  <c r="D23" i="21"/>
  <c r="D16" i="12" l="1"/>
  <c r="B385" i="12"/>
  <c r="D35" i="14"/>
  <c r="E408" i="21" l="1"/>
  <c r="E426" i="21" s="1"/>
  <c r="E776" i="21" l="1"/>
  <c r="E416" i="21"/>
  <c r="E422" i="21"/>
  <c r="E412" i="21"/>
  <c r="E436" i="21" l="1"/>
  <c r="E450" i="21" s="1"/>
  <c r="E464" i="21" s="1"/>
  <c r="E478" i="21" s="1"/>
  <c r="E492" i="21" s="1"/>
  <c r="E506" i="21" s="1"/>
  <c r="E520" i="21" s="1"/>
  <c r="E1032" i="21"/>
  <c r="B1021" i="21"/>
  <c r="B1007" i="21"/>
  <c r="B993" i="21"/>
  <c r="B979" i="21"/>
  <c r="B965" i="21"/>
  <c r="B951" i="21"/>
  <c r="B909" i="21"/>
  <c r="B839" i="21"/>
  <c r="B461" i="21"/>
  <c r="D715" i="21"/>
  <c r="D733" i="21"/>
  <c r="D751" i="21"/>
  <c r="H744" i="21"/>
  <c r="G744" i="21"/>
  <c r="F744" i="21"/>
  <c r="D771" i="21"/>
  <c r="D789" i="21"/>
  <c r="D807" i="21"/>
  <c r="D827" i="21"/>
  <c r="D845" i="21"/>
  <c r="D863" i="21"/>
  <c r="D883" i="21"/>
  <c r="D901" i="21"/>
  <c r="D919" i="21"/>
  <c r="D939" i="21"/>
  <c r="D957" i="21"/>
  <c r="D975" i="21"/>
  <c r="D995" i="21"/>
  <c r="D1013" i="21"/>
  <c r="D1031" i="21"/>
  <c r="D382" i="21"/>
  <c r="D374" i="21"/>
  <c r="D366" i="21"/>
  <c r="D358" i="21"/>
  <c r="D350" i="21"/>
  <c r="D342" i="21"/>
  <c r="D334" i="21"/>
  <c r="D326" i="21"/>
  <c r="B325" i="21"/>
  <c r="D318" i="21"/>
  <c r="D310" i="21"/>
  <c r="D314" i="21" s="1"/>
  <c r="D302" i="21"/>
  <c r="D306" i="21" s="1"/>
  <c r="D294" i="21"/>
  <c r="D286" i="21"/>
  <c r="D278" i="21"/>
  <c r="D270" i="21"/>
  <c r="D262" i="21"/>
  <c r="D264" i="21" s="1"/>
  <c r="D254" i="21"/>
  <c r="D246" i="21"/>
  <c r="D238" i="21"/>
  <c r="D230" i="21"/>
  <c r="D222" i="21"/>
  <c r="D214" i="21"/>
  <c r="D216" i="21" s="1"/>
  <c r="D206" i="21"/>
  <c r="D198" i="21"/>
  <c r="D190" i="21"/>
  <c r="D182" i="21"/>
  <c r="D174" i="21"/>
  <c r="D166" i="21"/>
  <c r="D158" i="21"/>
  <c r="D164" i="21" s="1"/>
  <c r="D150" i="21"/>
  <c r="D142" i="21"/>
  <c r="D134" i="21"/>
  <c r="D126" i="21"/>
  <c r="D118" i="21"/>
  <c r="D110" i="21"/>
  <c r="D102" i="21"/>
  <c r="D94" i="21"/>
  <c r="D86" i="21"/>
  <c r="D78" i="21"/>
  <c r="D70" i="21"/>
  <c r="D62" i="21"/>
  <c r="D54" i="21"/>
  <c r="D46" i="21"/>
  <c r="D38" i="21"/>
  <c r="D30" i="21"/>
  <c r="D22" i="21"/>
  <c r="B22" i="21"/>
  <c r="B30" i="21"/>
  <c r="B373" i="21"/>
  <c r="B365" i="21"/>
  <c r="B357" i="21"/>
  <c r="E363" i="21"/>
  <c r="F363" i="21" s="1"/>
  <c r="G363" i="21" s="1"/>
  <c r="H363" i="21" s="1"/>
  <c r="I363" i="21" s="1"/>
  <c r="E361" i="21"/>
  <c r="F361" i="21" s="1"/>
  <c r="G361" i="21" s="1"/>
  <c r="H361" i="21" s="1"/>
  <c r="I361" i="21" s="1"/>
  <c r="J361" i="21" s="1"/>
  <c r="E359" i="21"/>
  <c r="F359" i="21" s="1"/>
  <c r="G359" i="21" s="1"/>
  <c r="H359" i="21" s="1"/>
  <c r="I359" i="21" s="1"/>
  <c r="J359" i="21" s="1"/>
  <c r="K359" i="21" s="1"/>
  <c r="E371" i="21"/>
  <c r="F371" i="21" s="1"/>
  <c r="G371" i="21" s="1"/>
  <c r="H371" i="21" s="1"/>
  <c r="I371" i="21" s="1"/>
  <c r="E369" i="21"/>
  <c r="F369" i="21" s="1"/>
  <c r="G369" i="21" s="1"/>
  <c r="H369" i="21" s="1"/>
  <c r="I369" i="21" s="1"/>
  <c r="E367" i="21"/>
  <c r="F367" i="21" s="1"/>
  <c r="B349" i="21"/>
  <c r="E355" i="21"/>
  <c r="F355" i="21" s="1"/>
  <c r="G355" i="21" s="1"/>
  <c r="H355" i="21" s="1"/>
  <c r="I355" i="21" s="1"/>
  <c r="E353" i="21"/>
  <c r="F353" i="21" s="1"/>
  <c r="G353" i="21" s="1"/>
  <c r="H353" i="21" s="1"/>
  <c r="E351" i="21"/>
  <c r="F351" i="21" s="1"/>
  <c r="G351" i="21" s="1"/>
  <c r="H351" i="21" s="1"/>
  <c r="I351" i="21" s="1"/>
  <c r="B341" i="21"/>
  <c r="B333" i="21"/>
  <c r="B317" i="21"/>
  <c r="B309" i="21"/>
  <c r="B301" i="21"/>
  <c r="B293" i="21"/>
  <c r="B285" i="21"/>
  <c r="B277" i="21"/>
  <c r="B269" i="21"/>
  <c r="B261" i="21"/>
  <c r="B253" i="21"/>
  <c r="B245" i="21"/>
  <c r="B237" i="21"/>
  <c r="B229" i="21"/>
  <c r="B221" i="21"/>
  <c r="B213" i="21"/>
  <c r="B205" i="21"/>
  <c r="B197" i="21"/>
  <c r="E203" i="21"/>
  <c r="F203" i="21" s="1"/>
  <c r="G203" i="21" s="1"/>
  <c r="H203" i="21" s="1"/>
  <c r="I203" i="21" s="1"/>
  <c r="E201" i="21"/>
  <c r="F201" i="21" s="1"/>
  <c r="G201" i="21" s="1"/>
  <c r="H201" i="21" s="1"/>
  <c r="I201" i="21" s="1"/>
  <c r="J201" i="21" s="1"/>
  <c r="E199" i="21"/>
  <c r="F199" i="21" s="1"/>
  <c r="G199" i="21" s="1"/>
  <c r="H199" i="21" s="1"/>
  <c r="I199" i="21" s="1"/>
  <c r="J199" i="21" s="1"/>
  <c r="K199" i="21" s="1"/>
  <c r="E211" i="21"/>
  <c r="F211" i="21" s="1"/>
  <c r="G211" i="21" s="1"/>
  <c r="H211" i="21" s="1"/>
  <c r="I211" i="21" s="1"/>
  <c r="E209" i="21"/>
  <c r="F209" i="21" s="1"/>
  <c r="G209" i="21" s="1"/>
  <c r="H209" i="21" s="1"/>
  <c r="I209" i="21" s="1"/>
  <c r="J209" i="21" s="1"/>
  <c r="E207" i="21"/>
  <c r="F207" i="21" s="1"/>
  <c r="G207" i="21" s="1"/>
  <c r="H207" i="21" s="1"/>
  <c r="I207" i="21" s="1"/>
  <c r="J207" i="21" s="1"/>
  <c r="K207" i="21" s="1"/>
  <c r="E219" i="21"/>
  <c r="F219" i="21" s="1"/>
  <c r="G219" i="21" s="1"/>
  <c r="H219" i="21" s="1"/>
  <c r="I219" i="21" s="1"/>
  <c r="J219" i="21" s="1"/>
  <c r="K219" i="21" s="1"/>
  <c r="E217" i="21"/>
  <c r="F217" i="21" s="1"/>
  <c r="G217" i="21" s="1"/>
  <c r="H217" i="21" s="1"/>
  <c r="I217" i="21" s="1"/>
  <c r="J217" i="21" s="1"/>
  <c r="K217" i="21" s="1"/>
  <c r="L217" i="21" s="1"/>
  <c r="E215" i="21"/>
  <c r="F215" i="21" s="1"/>
  <c r="G215" i="21" s="1"/>
  <c r="H215" i="21" s="1"/>
  <c r="I215" i="21" s="1"/>
  <c r="J215" i="21" s="1"/>
  <c r="K215" i="21" s="1"/>
  <c r="L215" i="21" s="1"/>
  <c r="M215" i="21" s="1"/>
  <c r="E227" i="21"/>
  <c r="F227" i="21" s="1"/>
  <c r="G227" i="21" s="1"/>
  <c r="H227" i="21" s="1"/>
  <c r="I227" i="21" s="1"/>
  <c r="E225" i="21"/>
  <c r="F225" i="21" s="1"/>
  <c r="G225" i="21" s="1"/>
  <c r="H225" i="21" s="1"/>
  <c r="I225" i="21" s="1"/>
  <c r="J225" i="21" s="1"/>
  <c r="E223" i="21"/>
  <c r="F223" i="21" s="1"/>
  <c r="G223" i="21" s="1"/>
  <c r="H223" i="21" s="1"/>
  <c r="I223" i="21" s="1"/>
  <c r="J223" i="21" s="1"/>
  <c r="K223" i="21" s="1"/>
  <c r="E235" i="21"/>
  <c r="F235" i="21" s="1"/>
  <c r="G235" i="21" s="1"/>
  <c r="H235" i="21" s="1"/>
  <c r="I235" i="21" s="1"/>
  <c r="E233" i="21"/>
  <c r="F233" i="21" s="1"/>
  <c r="G233" i="21" s="1"/>
  <c r="H233" i="21" s="1"/>
  <c r="I233" i="21" s="1"/>
  <c r="J233" i="21" s="1"/>
  <c r="E231" i="21"/>
  <c r="F231" i="21" s="1"/>
  <c r="G231" i="21" s="1"/>
  <c r="H231" i="21" s="1"/>
  <c r="I231" i="21" s="1"/>
  <c r="J231" i="21" s="1"/>
  <c r="K231" i="21" s="1"/>
  <c r="E243" i="21"/>
  <c r="F243" i="21" s="1"/>
  <c r="G243" i="21" s="1"/>
  <c r="H243" i="21" s="1"/>
  <c r="I243" i="21" s="1"/>
  <c r="J243" i="21" s="1"/>
  <c r="K243" i="21" s="1"/>
  <c r="E241" i="21"/>
  <c r="F241" i="21" s="1"/>
  <c r="G241" i="21" s="1"/>
  <c r="H241" i="21" s="1"/>
  <c r="I241" i="21" s="1"/>
  <c r="J241" i="21" s="1"/>
  <c r="K241" i="21" s="1"/>
  <c r="L241" i="21" s="1"/>
  <c r="E239" i="21"/>
  <c r="F239" i="21" s="1"/>
  <c r="G239" i="21" s="1"/>
  <c r="H239" i="21" s="1"/>
  <c r="I239" i="21" s="1"/>
  <c r="J239" i="21" s="1"/>
  <c r="K239" i="21" s="1"/>
  <c r="D242" i="21"/>
  <c r="E251" i="21"/>
  <c r="F251" i="21" s="1"/>
  <c r="G251" i="21" s="1"/>
  <c r="H251" i="21" s="1"/>
  <c r="I251" i="21" s="1"/>
  <c r="E249" i="21"/>
  <c r="F249" i="21" s="1"/>
  <c r="G249" i="21" s="1"/>
  <c r="H249" i="21" s="1"/>
  <c r="I249" i="21" s="1"/>
  <c r="J249" i="21" s="1"/>
  <c r="E247" i="21"/>
  <c r="F247" i="21" s="1"/>
  <c r="G247" i="21" s="1"/>
  <c r="E259" i="21"/>
  <c r="F259" i="21" s="1"/>
  <c r="G259" i="21" s="1"/>
  <c r="H259" i="21" s="1"/>
  <c r="I259" i="21" s="1"/>
  <c r="J259" i="21" s="1"/>
  <c r="K259" i="21" s="1"/>
  <c r="E257" i="21"/>
  <c r="F257" i="21" s="1"/>
  <c r="G257" i="21" s="1"/>
  <c r="H257" i="21" s="1"/>
  <c r="I257" i="21" s="1"/>
  <c r="J257" i="21" s="1"/>
  <c r="K257" i="21" s="1"/>
  <c r="L257" i="21" s="1"/>
  <c r="E255" i="21"/>
  <c r="E267" i="21"/>
  <c r="F267" i="21" s="1"/>
  <c r="G267" i="21" s="1"/>
  <c r="H267" i="21" s="1"/>
  <c r="I267" i="21" s="1"/>
  <c r="J267" i="21" s="1"/>
  <c r="E265" i="21"/>
  <c r="F265" i="21" s="1"/>
  <c r="G265" i="21" s="1"/>
  <c r="H265" i="21" s="1"/>
  <c r="I265" i="21" s="1"/>
  <c r="J265" i="21" s="1"/>
  <c r="K265" i="21" s="1"/>
  <c r="E263" i="21"/>
  <c r="F263" i="21" s="1"/>
  <c r="G263" i="21" s="1"/>
  <c r="H263" i="21" s="1"/>
  <c r="I263" i="21" s="1"/>
  <c r="J263" i="21" s="1"/>
  <c r="K263" i="21" s="1"/>
  <c r="L263" i="21" s="1"/>
  <c r="E275" i="21"/>
  <c r="F275" i="21" s="1"/>
  <c r="G275" i="21" s="1"/>
  <c r="H275" i="21" s="1"/>
  <c r="I275" i="21" s="1"/>
  <c r="E273" i="21"/>
  <c r="F273" i="21" s="1"/>
  <c r="G273" i="21" s="1"/>
  <c r="H273" i="21" s="1"/>
  <c r="I273" i="21" s="1"/>
  <c r="J273" i="21" s="1"/>
  <c r="E271" i="21"/>
  <c r="F271" i="21" s="1"/>
  <c r="G271" i="21" s="1"/>
  <c r="H271" i="21" s="1"/>
  <c r="I271" i="21" s="1"/>
  <c r="J271" i="21" s="1"/>
  <c r="K271" i="21" s="1"/>
  <c r="E283" i="21"/>
  <c r="F283" i="21" s="1"/>
  <c r="G283" i="21" s="1"/>
  <c r="H283" i="21" s="1"/>
  <c r="I283" i="21" s="1"/>
  <c r="E281" i="21"/>
  <c r="F281" i="21" s="1"/>
  <c r="G281" i="21" s="1"/>
  <c r="H281" i="21" s="1"/>
  <c r="I281" i="21" s="1"/>
  <c r="J281" i="21" s="1"/>
  <c r="E279" i="21"/>
  <c r="F279" i="21" s="1"/>
  <c r="G279" i="21" s="1"/>
  <c r="H279" i="21" s="1"/>
  <c r="I279" i="21" s="1"/>
  <c r="J279" i="21" s="1"/>
  <c r="K279" i="21" s="1"/>
  <c r="E291" i="21"/>
  <c r="F291" i="21" s="1"/>
  <c r="G291" i="21" s="1"/>
  <c r="H291" i="21" s="1"/>
  <c r="I291" i="21" s="1"/>
  <c r="E289" i="21"/>
  <c r="F289" i="21" s="1"/>
  <c r="G289" i="21" s="1"/>
  <c r="H289" i="21" s="1"/>
  <c r="I289" i="21" s="1"/>
  <c r="J289" i="21" s="1"/>
  <c r="E287" i="21"/>
  <c r="F287" i="21" s="1"/>
  <c r="G287" i="21" s="1"/>
  <c r="H287" i="21" s="1"/>
  <c r="I287" i="21" s="1"/>
  <c r="J287" i="21" s="1"/>
  <c r="K287" i="21" s="1"/>
  <c r="E299" i="21"/>
  <c r="F299" i="21" s="1"/>
  <c r="G299" i="21" s="1"/>
  <c r="H299" i="21" s="1"/>
  <c r="I299" i="21" s="1"/>
  <c r="E297" i="21"/>
  <c r="F297" i="21" s="1"/>
  <c r="G297" i="21" s="1"/>
  <c r="H297" i="21" s="1"/>
  <c r="I297" i="21" s="1"/>
  <c r="J297" i="21" s="1"/>
  <c r="E295" i="21"/>
  <c r="F295" i="21" s="1"/>
  <c r="G295" i="21" s="1"/>
  <c r="H295" i="21" s="1"/>
  <c r="I295" i="21" s="1"/>
  <c r="J295" i="21" s="1"/>
  <c r="K295" i="21" s="1"/>
  <c r="E307" i="21"/>
  <c r="F307" i="21" s="1"/>
  <c r="G307" i="21" s="1"/>
  <c r="H307" i="21" s="1"/>
  <c r="I307" i="21" s="1"/>
  <c r="E305" i="21"/>
  <c r="F305" i="21" s="1"/>
  <c r="G305" i="21" s="1"/>
  <c r="H305" i="21" s="1"/>
  <c r="I305" i="21" s="1"/>
  <c r="J305" i="21" s="1"/>
  <c r="E303" i="21"/>
  <c r="F303" i="21" s="1"/>
  <c r="G303" i="21" s="1"/>
  <c r="H303" i="21" s="1"/>
  <c r="E315" i="21"/>
  <c r="F315" i="21" s="1"/>
  <c r="G315" i="21" s="1"/>
  <c r="H315" i="21" s="1"/>
  <c r="I315" i="21" s="1"/>
  <c r="J315" i="21" s="1"/>
  <c r="K315" i="21" s="1"/>
  <c r="E313" i="21"/>
  <c r="F313" i="21" s="1"/>
  <c r="G313" i="21" s="1"/>
  <c r="H313" i="21" s="1"/>
  <c r="I313" i="21" s="1"/>
  <c r="J313" i="21" s="1"/>
  <c r="K313" i="21" s="1"/>
  <c r="L313" i="21" s="1"/>
  <c r="E311" i="21"/>
  <c r="F311" i="21" s="1"/>
  <c r="G311" i="21" s="1"/>
  <c r="H311" i="21" s="1"/>
  <c r="I311" i="21" s="1"/>
  <c r="J311" i="21" s="1"/>
  <c r="K311" i="21" s="1"/>
  <c r="L311" i="21" s="1"/>
  <c r="M311" i="21" s="1"/>
  <c r="E323" i="21"/>
  <c r="F323" i="21" s="1"/>
  <c r="G323" i="21" s="1"/>
  <c r="H323" i="21" s="1"/>
  <c r="I323" i="21" s="1"/>
  <c r="J323" i="21" s="1"/>
  <c r="K323" i="21" s="1"/>
  <c r="E321" i="21"/>
  <c r="F321" i="21" s="1"/>
  <c r="G321" i="21" s="1"/>
  <c r="H321" i="21" s="1"/>
  <c r="I321" i="21" s="1"/>
  <c r="J321" i="21" s="1"/>
  <c r="K321" i="21" s="1"/>
  <c r="L321" i="21" s="1"/>
  <c r="E319" i="21"/>
  <c r="F319" i="21" s="1"/>
  <c r="G319" i="21" s="1"/>
  <c r="H319" i="21" s="1"/>
  <c r="I319" i="21" s="1"/>
  <c r="E331" i="21"/>
  <c r="F331" i="21" s="1"/>
  <c r="G331" i="21" s="1"/>
  <c r="H331" i="21" s="1"/>
  <c r="I331" i="21" s="1"/>
  <c r="E329" i="21"/>
  <c r="F329" i="21" s="1"/>
  <c r="G329" i="21" s="1"/>
  <c r="H329" i="21" s="1"/>
  <c r="I329" i="21" s="1"/>
  <c r="J329" i="21" s="1"/>
  <c r="E327" i="21"/>
  <c r="F327" i="21" s="1"/>
  <c r="G327" i="21" s="1"/>
  <c r="H327" i="21" s="1"/>
  <c r="I327" i="21" s="1"/>
  <c r="J327" i="21" s="1"/>
  <c r="K327" i="21" s="1"/>
  <c r="E339" i="21"/>
  <c r="F339" i="21" s="1"/>
  <c r="G339" i="21" s="1"/>
  <c r="H339" i="21" s="1"/>
  <c r="I339" i="21" s="1"/>
  <c r="J339" i="21" s="1"/>
  <c r="K339" i="21" s="1"/>
  <c r="E337" i="21"/>
  <c r="F337" i="21" s="1"/>
  <c r="G337" i="21" s="1"/>
  <c r="H337" i="21" s="1"/>
  <c r="I337" i="21" s="1"/>
  <c r="J337" i="21" s="1"/>
  <c r="K337" i="21" s="1"/>
  <c r="L337" i="21" s="1"/>
  <c r="E335" i="21"/>
  <c r="F335" i="21" s="1"/>
  <c r="G335" i="21" s="1"/>
  <c r="H335" i="21" s="1"/>
  <c r="I335" i="21" s="1"/>
  <c r="J335" i="21" s="1"/>
  <c r="K335" i="21" s="1"/>
  <c r="L335" i="21" s="1"/>
  <c r="M335" i="21" s="1"/>
  <c r="E347" i="21"/>
  <c r="F347" i="21" s="1"/>
  <c r="G347" i="21" s="1"/>
  <c r="H347" i="21" s="1"/>
  <c r="I347" i="21" s="1"/>
  <c r="E345" i="21"/>
  <c r="F345" i="21" s="1"/>
  <c r="G345" i="21" s="1"/>
  <c r="H345" i="21" s="1"/>
  <c r="I345" i="21" s="1"/>
  <c r="J345" i="21" s="1"/>
  <c r="E343" i="21"/>
  <c r="F343" i="21" s="1"/>
  <c r="G343" i="21" s="1"/>
  <c r="H343" i="21" s="1"/>
  <c r="I343" i="21" s="1"/>
  <c r="J343" i="21" s="1"/>
  <c r="K343" i="21" s="1"/>
  <c r="B189" i="21"/>
  <c r="B181" i="21"/>
  <c r="B173" i="21"/>
  <c r="B165" i="21"/>
  <c r="B157" i="21"/>
  <c r="B149" i="21"/>
  <c r="B141" i="21"/>
  <c r="B133" i="21"/>
  <c r="B125" i="21"/>
  <c r="B117" i="21"/>
  <c r="B109" i="21"/>
  <c r="B101" i="21"/>
  <c r="B93" i="21"/>
  <c r="B85" i="21"/>
  <c r="B77" i="21"/>
  <c r="B69" i="21"/>
  <c r="B61" i="21"/>
  <c r="B53" i="21"/>
  <c r="B45" i="21"/>
  <c r="B37" i="21"/>
  <c r="B29" i="21"/>
  <c r="B21" i="21"/>
  <c r="B741" i="12"/>
  <c r="B733" i="12"/>
  <c r="H738" i="12"/>
  <c r="G738" i="12"/>
  <c r="F738" i="12"/>
  <c r="E738" i="12"/>
  <c r="D738" i="12"/>
  <c r="C738" i="12"/>
  <c r="H735" i="12"/>
  <c r="G735" i="12"/>
  <c r="F735" i="12"/>
  <c r="E735" i="12"/>
  <c r="D735" i="12"/>
  <c r="C735" i="12"/>
  <c r="B725" i="12"/>
  <c r="B717" i="12"/>
  <c r="B709" i="12"/>
  <c r="B701" i="12"/>
  <c r="H706" i="12"/>
  <c r="G706" i="12"/>
  <c r="F706" i="12"/>
  <c r="E706" i="12"/>
  <c r="D706" i="12"/>
  <c r="C706" i="12"/>
  <c r="H703" i="12"/>
  <c r="G703" i="12"/>
  <c r="F703" i="12"/>
  <c r="E703" i="12"/>
  <c r="D703" i="12"/>
  <c r="C703" i="12"/>
  <c r="H714" i="12"/>
  <c r="G714" i="12"/>
  <c r="F714" i="12"/>
  <c r="E714" i="12"/>
  <c r="D714" i="12"/>
  <c r="C714" i="12"/>
  <c r="H711" i="12"/>
  <c r="G711" i="12"/>
  <c r="F711" i="12"/>
  <c r="E711" i="12"/>
  <c r="D711" i="12"/>
  <c r="C711" i="12"/>
  <c r="H722" i="12"/>
  <c r="G722" i="12"/>
  <c r="F722" i="12"/>
  <c r="E722" i="12"/>
  <c r="D722" i="12"/>
  <c r="C722" i="12"/>
  <c r="H719" i="12"/>
  <c r="G719" i="12"/>
  <c r="F719" i="12"/>
  <c r="E719" i="12"/>
  <c r="D719" i="12"/>
  <c r="C719" i="12"/>
  <c r="H730" i="12"/>
  <c r="G730" i="12"/>
  <c r="F730" i="12"/>
  <c r="E730" i="12"/>
  <c r="D730" i="12"/>
  <c r="C730" i="12"/>
  <c r="H727" i="12"/>
  <c r="G727" i="12"/>
  <c r="F727" i="12"/>
  <c r="E727" i="12"/>
  <c r="D727" i="12"/>
  <c r="C727" i="12"/>
  <c r="B693" i="12"/>
  <c r="B937" i="21" s="1"/>
  <c r="B685" i="12"/>
  <c r="B923" i="21" s="1"/>
  <c r="B677" i="12"/>
  <c r="B669" i="12"/>
  <c r="B895" i="21" s="1"/>
  <c r="B661" i="12"/>
  <c r="B881" i="21" s="1"/>
  <c r="H666" i="12"/>
  <c r="G666" i="12"/>
  <c r="F666" i="12"/>
  <c r="E666" i="12"/>
  <c r="D666" i="12"/>
  <c r="C666" i="12"/>
  <c r="H663" i="12"/>
  <c r="G663" i="12"/>
  <c r="F663" i="12"/>
  <c r="E663" i="12"/>
  <c r="D663" i="12"/>
  <c r="C663" i="12"/>
  <c r="H674" i="12"/>
  <c r="G674" i="12"/>
  <c r="F674" i="12"/>
  <c r="E674" i="12"/>
  <c r="D674" i="12"/>
  <c r="C674" i="12"/>
  <c r="H671" i="12"/>
  <c r="G671" i="12"/>
  <c r="F671" i="12"/>
  <c r="E671" i="12"/>
  <c r="D671" i="12"/>
  <c r="C671" i="12"/>
  <c r="H682" i="12"/>
  <c r="G682" i="12"/>
  <c r="F682" i="12"/>
  <c r="E682" i="12"/>
  <c r="D682" i="12"/>
  <c r="C682" i="12"/>
  <c r="H679" i="12"/>
  <c r="G679" i="12"/>
  <c r="F679" i="12"/>
  <c r="E679" i="12"/>
  <c r="D679" i="12"/>
  <c r="C679" i="12"/>
  <c r="H690" i="12"/>
  <c r="G690" i="12"/>
  <c r="F690" i="12"/>
  <c r="E690" i="12"/>
  <c r="D690" i="12"/>
  <c r="C690" i="12"/>
  <c r="H687" i="12"/>
  <c r="G687" i="12"/>
  <c r="F687" i="12"/>
  <c r="E687" i="12"/>
  <c r="D687" i="12"/>
  <c r="C687" i="12"/>
  <c r="H698" i="12"/>
  <c r="G698" i="12"/>
  <c r="F698" i="12"/>
  <c r="E698" i="12"/>
  <c r="D698" i="12"/>
  <c r="C698" i="12"/>
  <c r="H695" i="12"/>
  <c r="G695" i="12"/>
  <c r="F695" i="12"/>
  <c r="E695" i="12"/>
  <c r="D695" i="12"/>
  <c r="C695" i="12"/>
  <c r="B653" i="12"/>
  <c r="B867" i="21" s="1"/>
  <c r="B645" i="12"/>
  <c r="B853" i="21" s="1"/>
  <c r="B637" i="12"/>
  <c r="B629" i="12"/>
  <c r="B825" i="21" s="1"/>
  <c r="B621" i="12"/>
  <c r="B811" i="21" s="1"/>
  <c r="B613" i="12"/>
  <c r="B797" i="21" s="1"/>
  <c r="B605" i="12"/>
  <c r="B783" i="21" s="1"/>
  <c r="B597" i="12"/>
  <c r="B769" i="21" s="1"/>
  <c r="B589" i="12"/>
  <c r="B755" i="21" s="1"/>
  <c r="B581" i="12"/>
  <c r="B741" i="21" s="1"/>
  <c r="H586" i="12"/>
  <c r="G586" i="12"/>
  <c r="F586" i="12"/>
  <c r="E586" i="12"/>
  <c r="D586" i="12"/>
  <c r="C586" i="12"/>
  <c r="H583" i="12"/>
  <c r="G583" i="12"/>
  <c r="F583" i="12"/>
  <c r="E583" i="12"/>
  <c r="D583" i="12"/>
  <c r="C583" i="12"/>
  <c r="H594" i="12"/>
  <c r="G594" i="12"/>
  <c r="F594" i="12"/>
  <c r="E594" i="12"/>
  <c r="D594" i="12"/>
  <c r="C594" i="12"/>
  <c r="H591" i="12"/>
  <c r="G591" i="12"/>
  <c r="F591" i="12"/>
  <c r="E591" i="12"/>
  <c r="D591" i="12"/>
  <c r="C591" i="12"/>
  <c r="H602" i="12"/>
  <c r="G602" i="12"/>
  <c r="F602" i="12"/>
  <c r="E602" i="12"/>
  <c r="D602" i="12"/>
  <c r="C602" i="12"/>
  <c r="H599" i="12"/>
  <c r="G599" i="12"/>
  <c r="F599" i="12"/>
  <c r="E599" i="12"/>
  <c r="D599" i="12"/>
  <c r="C599" i="12"/>
  <c r="H610" i="12"/>
  <c r="G610" i="12"/>
  <c r="F610" i="12"/>
  <c r="E610" i="12"/>
  <c r="D610" i="12"/>
  <c r="C610" i="12"/>
  <c r="H607" i="12"/>
  <c r="G607" i="12"/>
  <c r="F607" i="12"/>
  <c r="E607" i="12"/>
  <c r="D607" i="12"/>
  <c r="C607" i="12"/>
  <c r="H618" i="12"/>
  <c r="G618" i="12"/>
  <c r="F618" i="12"/>
  <c r="E618" i="12"/>
  <c r="D618" i="12"/>
  <c r="C618" i="12"/>
  <c r="H615" i="12"/>
  <c r="G615" i="12"/>
  <c r="F615" i="12"/>
  <c r="E615" i="12"/>
  <c r="D615" i="12"/>
  <c r="C615" i="12"/>
  <c r="H626" i="12"/>
  <c r="G626" i="12"/>
  <c r="F626" i="12"/>
  <c r="E626" i="12"/>
  <c r="D626" i="12"/>
  <c r="C626" i="12"/>
  <c r="H623" i="12"/>
  <c r="G623" i="12"/>
  <c r="F623" i="12"/>
  <c r="E623" i="12"/>
  <c r="D623" i="12"/>
  <c r="C623" i="12"/>
  <c r="H634" i="12"/>
  <c r="G634" i="12"/>
  <c r="F634" i="12"/>
  <c r="E634" i="12"/>
  <c r="D634" i="12"/>
  <c r="C634" i="12"/>
  <c r="H631" i="12"/>
  <c r="G631" i="12"/>
  <c r="F631" i="12"/>
  <c r="E631" i="12"/>
  <c r="D631" i="12"/>
  <c r="C631" i="12"/>
  <c r="H642" i="12"/>
  <c r="G642" i="12"/>
  <c r="F642" i="12"/>
  <c r="E642" i="12"/>
  <c r="D642" i="12"/>
  <c r="C642" i="12"/>
  <c r="H639" i="12"/>
  <c r="G639" i="12"/>
  <c r="F639" i="12"/>
  <c r="E639" i="12"/>
  <c r="D639" i="12"/>
  <c r="C639" i="12"/>
  <c r="H650" i="12"/>
  <c r="G650" i="12"/>
  <c r="F650" i="12"/>
  <c r="E650" i="12"/>
  <c r="D650" i="12"/>
  <c r="C650" i="12"/>
  <c r="H647" i="12"/>
  <c r="G647" i="12"/>
  <c r="F647" i="12"/>
  <c r="E647" i="12"/>
  <c r="D647" i="12"/>
  <c r="C647" i="12"/>
  <c r="H658" i="12"/>
  <c r="G658" i="12"/>
  <c r="F658" i="12"/>
  <c r="E658" i="12"/>
  <c r="D658" i="12"/>
  <c r="C658" i="12"/>
  <c r="H655" i="12"/>
  <c r="G655" i="12"/>
  <c r="F655" i="12"/>
  <c r="E655" i="12"/>
  <c r="D655" i="12"/>
  <c r="C655" i="12"/>
  <c r="B421" i="12"/>
  <c r="B413" i="12"/>
  <c r="B447" i="21" s="1"/>
  <c r="B405" i="12"/>
  <c r="B433" i="21" s="1"/>
  <c r="B397" i="12"/>
  <c r="B419" i="21" s="1"/>
  <c r="B389" i="12"/>
  <c r="B405" i="21" s="1"/>
  <c r="H394" i="12"/>
  <c r="G394" i="12"/>
  <c r="F394" i="12"/>
  <c r="E394" i="12"/>
  <c r="D394" i="12"/>
  <c r="H391" i="12"/>
  <c r="G391" i="12"/>
  <c r="F391" i="12"/>
  <c r="E391" i="12"/>
  <c r="D391" i="12"/>
  <c r="C391" i="12"/>
  <c r="C51" i="12"/>
  <c r="D48" i="12"/>
  <c r="D45" i="12"/>
  <c r="E45" i="12" s="1"/>
  <c r="F45" i="12" s="1"/>
  <c r="G45" i="12" s="1"/>
  <c r="H45" i="12" s="1"/>
  <c r="I45" i="12" s="1"/>
  <c r="J45" i="12" s="1"/>
  <c r="K45" i="12" s="1"/>
  <c r="L45" i="12" s="1"/>
  <c r="M45" i="12" s="1"/>
  <c r="N45" i="12" s="1"/>
  <c r="C19" i="12"/>
  <c r="D13" i="12"/>
  <c r="C331" i="12"/>
  <c r="D328" i="12"/>
  <c r="D325" i="12"/>
  <c r="E325" i="12" s="1"/>
  <c r="F325" i="12" s="1"/>
  <c r="G325" i="12" s="1"/>
  <c r="H325" i="12" s="1"/>
  <c r="I325" i="12" s="1"/>
  <c r="J325" i="12" s="1"/>
  <c r="K325" i="12" s="1"/>
  <c r="L325" i="12" s="1"/>
  <c r="M325" i="12" s="1"/>
  <c r="N325" i="12" s="1"/>
  <c r="O334" i="21" s="1"/>
  <c r="C339" i="12"/>
  <c r="D336" i="12"/>
  <c r="D333" i="12"/>
  <c r="E333" i="12" s="1"/>
  <c r="F333" i="12" s="1"/>
  <c r="G333" i="12" s="1"/>
  <c r="H333" i="12" s="1"/>
  <c r="I333" i="12" s="1"/>
  <c r="J333" i="12" s="1"/>
  <c r="K333" i="12" s="1"/>
  <c r="L333" i="12" s="1"/>
  <c r="M333" i="12" s="1"/>
  <c r="N333" i="12" s="1"/>
  <c r="O342" i="21" s="1"/>
  <c r="C347" i="12"/>
  <c r="D344" i="12"/>
  <c r="D341" i="12"/>
  <c r="E341" i="12" s="1"/>
  <c r="F341" i="12" s="1"/>
  <c r="G341" i="12" s="1"/>
  <c r="H341" i="12" s="1"/>
  <c r="I341" i="12" s="1"/>
  <c r="J341" i="12" s="1"/>
  <c r="K341" i="12" s="1"/>
  <c r="L341" i="12" s="1"/>
  <c r="M341" i="12" s="1"/>
  <c r="N341" i="12" s="1"/>
  <c r="O350" i="21" s="1"/>
  <c r="C355" i="12"/>
  <c r="D352" i="12"/>
  <c r="E352" i="12" s="1"/>
  <c r="D349" i="12"/>
  <c r="E349" i="12" s="1"/>
  <c r="F349" i="12" s="1"/>
  <c r="G349" i="12" s="1"/>
  <c r="H349" i="12" s="1"/>
  <c r="I349" i="12" s="1"/>
  <c r="J349" i="12" s="1"/>
  <c r="K349" i="12" s="1"/>
  <c r="L349" i="12" s="1"/>
  <c r="M349" i="12" s="1"/>
  <c r="N349" i="12" s="1"/>
  <c r="O366" i="21" s="1"/>
  <c r="C363" i="12"/>
  <c r="D360" i="12"/>
  <c r="E360" i="12" s="1"/>
  <c r="D357" i="12"/>
  <c r="E357" i="12" s="1"/>
  <c r="F357" i="12" s="1"/>
  <c r="G357" i="12" s="1"/>
  <c r="H357" i="12" s="1"/>
  <c r="I357" i="12" s="1"/>
  <c r="J357" i="12" s="1"/>
  <c r="K357" i="12" s="1"/>
  <c r="L357" i="12" s="1"/>
  <c r="M357" i="12" s="1"/>
  <c r="N357" i="12" s="1"/>
  <c r="C371" i="12"/>
  <c r="D368" i="12"/>
  <c r="E368" i="12" s="1"/>
  <c r="F368" i="12" s="1"/>
  <c r="D365" i="12"/>
  <c r="E365" i="12" s="1"/>
  <c r="F365" i="12" s="1"/>
  <c r="G365" i="12" s="1"/>
  <c r="H365" i="12" s="1"/>
  <c r="I365" i="12" s="1"/>
  <c r="J365" i="12" s="1"/>
  <c r="K365" i="12" s="1"/>
  <c r="L365" i="12" s="1"/>
  <c r="M365" i="12" s="1"/>
  <c r="N365" i="12" s="1"/>
  <c r="O374" i="21" s="1"/>
  <c r="C259" i="12"/>
  <c r="D256" i="12"/>
  <c r="D253" i="12"/>
  <c r="E253" i="12" s="1"/>
  <c r="F253" i="12" s="1"/>
  <c r="G253" i="12" s="1"/>
  <c r="H253" i="12" s="1"/>
  <c r="I253" i="12" s="1"/>
  <c r="J253" i="12" s="1"/>
  <c r="K253" i="12" s="1"/>
  <c r="L253" i="12" s="1"/>
  <c r="M253" i="12" s="1"/>
  <c r="N253" i="12" s="1"/>
  <c r="O262" i="21" s="1"/>
  <c r="C267" i="12"/>
  <c r="D264" i="12"/>
  <c r="E264" i="12" s="1"/>
  <c r="D261" i="12"/>
  <c r="E261" i="12" s="1"/>
  <c r="F270" i="21" s="1"/>
  <c r="C275" i="12"/>
  <c r="D272" i="12"/>
  <c r="E272" i="12" s="1"/>
  <c r="D269" i="12"/>
  <c r="E269" i="12" s="1"/>
  <c r="F269" i="12" s="1"/>
  <c r="G269" i="12" s="1"/>
  <c r="H269" i="12" s="1"/>
  <c r="I269" i="12" s="1"/>
  <c r="J269" i="12" s="1"/>
  <c r="K269" i="12" s="1"/>
  <c r="L269" i="12" s="1"/>
  <c r="M269" i="12" s="1"/>
  <c r="N269" i="12" s="1"/>
  <c r="O278" i="21" s="1"/>
  <c r="C283" i="12"/>
  <c r="D280" i="12"/>
  <c r="D277" i="12"/>
  <c r="E277" i="12" s="1"/>
  <c r="F277" i="12" s="1"/>
  <c r="G277" i="12" s="1"/>
  <c r="H277" i="12" s="1"/>
  <c r="I277" i="12" s="1"/>
  <c r="J277" i="12" s="1"/>
  <c r="K277" i="12" s="1"/>
  <c r="L277" i="12" s="1"/>
  <c r="M277" i="12" s="1"/>
  <c r="N277" i="12" s="1"/>
  <c r="O286" i="21" s="1"/>
  <c r="C291" i="12"/>
  <c r="D288" i="12"/>
  <c r="D285" i="12"/>
  <c r="E285" i="12" s="1"/>
  <c r="F294" i="21" s="1"/>
  <c r="C299" i="12"/>
  <c r="D296" i="12"/>
  <c r="E296" i="12" s="1"/>
  <c r="D293" i="12"/>
  <c r="E302" i="21" s="1"/>
  <c r="C307" i="12"/>
  <c r="D304" i="12"/>
  <c r="D301" i="12"/>
  <c r="E301" i="12" s="1"/>
  <c r="F301" i="12" s="1"/>
  <c r="G301" i="12" s="1"/>
  <c r="H301" i="12" s="1"/>
  <c r="I301" i="12" s="1"/>
  <c r="J301" i="12" s="1"/>
  <c r="K301" i="12" s="1"/>
  <c r="L301" i="12" s="1"/>
  <c r="M301" i="12" s="1"/>
  <c r="N301" i="12" s="1"/>
  <c r="O310" i="21" s="1"/>
  <c r="C315" i="12"/>
  <c r="D312" i="12"/>
  <c r="E312" i="12" s="1"/>
  <c r="D309" i="12"/>
  <c r="E318" i="21" s="1"/>
  <c r="C323" i="12"/>
  <c r="D320" i="12"/>
  <c r="D317" i="12"/>
  <c r="E317" i="12" s="1"/>
  <c r="F317" i="12" s="1"/>
  <c r="G317" i="12" s="1"/>
  <c r="H317" i="12" s="1"/>
  <c r="I317" i="12" s="1"/>
  <c r="J317" i="12" s="1"/>
  <c r="K317" i="12" s="1"/>
  <c r="L317" i="12" s="1"/>
  <c r="M317" i="12" s="1"/>
  <c r="N317" i="12" s="1"/>
  <c r="O326" i="21" s="1"/>
  <c r="C211" i="12"/>
  <c r="D208" i="12"/>
  <c r="D205" i="12"/>
  <c r="E205" i="12" s="1"/>
  <c r="F214" i="21" s="1"/>
  <c r="C219" i="12"/>
  <c r="D216" i="12"/>
  <c r="E216" i="12" s="1"/>
  <c r="D213" i="12"/>
  <c r="E222" i="21" s="1"/>
  <c r="C227" i="12"/>
  <c r="D224" i="12"/>
  <c r="D221" i="12"/>
  <c r="E221" i="12" s="1"/>
  <c r="F221" i="12" s="1"/>
  <c r="G221" i="12" s="1"/>
  <c r="H221" i="12" s="1"/>
  <c r="I221" i="12" s="1"/>
  <c r="J221" i="12" s="1"/>
  <c r="K221" i="12" s="1"/>
  <c r="L221" i="12" s="1"/>
  <c r="M221" i="12" s="1"/>
  <c r="N221" i="12" s="1"/>
  <c r="C235" i="12"/>
  <c r="D232" i="12"/>
  <c r="E232" i="12" s="1"/>
  <c r="D229" i="12"/>
  <c r="E229" i="12" s="1"/>
  <c r="F229" i="12" s="1"/>
  <c r="G229" i="12" s="1"/>
  <c r="H229" i="12" s="1"/>
  <c r="I229" i="12" s="1"/>
  <c r="J229" i="12" s="1"/>
  <c r="K229" i="12" s="1"/>
  <c r="L229" i="12" s="1"/>
  <c r="M229" i="12" s="1"/>
  <c r="N229" i="12" s="1"/>
  <c r="C243" i="12"/>
  <c r="D240" i="12"/>
  <c r="D237" i="12"/>
  <c r="E237" i="12" s="1"/>
  <c r="F237" i="12" s="1"/>
  <c r="G237" i="12" s="1"/>
  <c r="H237" i="12" s="1"/>
  <c r="I237" i="12" s="1"/>
  <c r="J237" i="12" s="1"/>
  <c r="K237" i="12" s="1"/>
  <c r="L237" i="12" s="1"/>
  <c r="M237" i="12" s="1"/>
  <c r="N237" i="12" s="1"/>
  <c r="O246" i="21" s="1"/>
  <c r="C251" i="12"/>
  <c r="D248" i="12"/>
  <c r="D245" i="12"/>
  <c r="E245" i="12" s="1"/>
  <c r="F254" i="21" s="1"/>
  <c r="O54" i="21" l="1"/>
  <c r="O45" i="12"/>
  <c r="O230" i="21"/>
  <c r="O221" i="12"/>
  <c r="C598" i="12" s="1"/>
  <c r="D598" i="12" s="1"/>
  <c r="O238" i="21"/>
  <c r="C606" i="12"/>
  <c r="E13" i="12"/>
  <c r="F13" i="12" s="1"/>
  <c r="G13" i="12" s="1"/>
  <c r="H13" i="12" s="1"/>
  <c r="I13" i="12" s="1"/>
  <c r="J13" i="12" s="1"/>
  <c r="K13" i="12" s="1"/>
  <c r="L13" i="12" s="1"/>
  <c r="M13" i="12" s="1"/>
  <c r="N13" i="12" s="1"/>
  <c r="D26" i="21"/>
  <c r="D24" i="21"/>
  <c r="K54" i="21"/>
  <c r="F366" i="21"/>
  <c r="F716" i="21" s="1"/>
  <c r="L350" i="21"/>
  <c r="I310" i="21"/>
  <c r="I314" i="21" s="1"/>
  <c r="G262" i="21"/>
  <c r="G264" i="21" s="1"/>
  <c r="E238" i="21"/>
  <c r="E244" i="21" s="1"/>
  <c r="M238" i="21"/>
  <c r="J54" i="21"/>
  <c r="N54" i="21"/>
  <c r="F54" i="21"/>
  <c r="G54" i="21"/>
  <c r="J358" i="21"/>
  <c r="J362" i="21" s="1"/>
  <c r="F350" i="21"/>
  <c r="F352" i="21" s="1"/>
  <c r="F334" i="21"/>
  <c r="F340" i="21" s="1"/>
  <c r="N334" i="21"/>
  <c r="J326" i="21"/>
  <c r="I326" i="21"/>
  <c r="I332" i="21" s="1"/>
  <c r="E286" i="21"/>
  <c r="E292" i="21" s="1"/>
  <c r="I278" i="21"/>
  <c r="I280" i="21" s="1"/>
  <c r="E270" i="21"/>
  <c r="E276" i="21" s="1"/>
  <c r="I262" i="21"/>
  <c r="I268" i="21" s="1"/>
  <c r="E254" i="21"/>
  <c r="E258" i="21" s="1"/>
  <c r="I230" i="21"/>
  <c r="I234" i="21" s="1"/>
  <c r="E214" i="21"/>
  <c r="E216" i="21" s="1"/>
  <c r="M54" i="21"/>
  <c r="I54" i="21"/>
  <c r="E54" i="21"/>
  <c r="L54" i="21"/>
  <c r="H54" i="21"/>
  <c r="E548" i="21"/>
  <c r="E562" i="21" s="1"/>
  <c r="E576" i="21" s="1"/>
  <c r="E590" i="21" s="1"/>
  <c r="E604" i="21" s="1"/>
  <c r="E618" i="21" s="1"/>
  <c r="E632" i="21" s="1"/>
  <c r="E646" i="21" s="1"/>
  <c r="E660" i="21" s="1"/>
  <c r="E674" i="21" s="1"/>
  <c r="E688" i="21" s="1"/>
  <c r="E702" i="21" s="1"/>
  <c r="E716" i="21" s="1"/>
  <c r="E730" i="21" s="1"/>
  <c r="E744" i="21" s="1"/>
  <c r="E758" i="21" s="1"/>
  <c r="E772" i="21" s="1"/>
  <c r="E786" i="21" s="1"/>
  <c r="E800" i="21" s="1"/>
  <c r="E814" i="21" s="1"/>
  <c r="E828" i="21" s="1"/>
  <c r="E842" i="21" s="1"/>
  <c r="E856" i="21" s="1"/>
  <c r="E870" i="21" s="1"/>
  <c r="E884" i="21" s="1"/>
  <c r="E898" i="21" s="1"/>
  <c r="E912" i="21" s="1"/>
  <c r="E926" i="21" s="1"/>
  <c r="E940" i="21" s="1"/>
  <c r="E954" i="21" s="1"/>
  <c r="E968" i="21" s="1"/>
  <c r="E982" i="21" s="1"/>
  <c r="E996" i="21" s="1"/>
  <c r="E1010" i="21" s="1"/>
  <c r="E1024" i="21" s="1"/>
  <c r="E1038" i="21" s="1"/>
  <c r="E534" i="21"/>
  <c r="I374" i="21"/>
  <c r="H374" i="21"/>
  <c r="G374" i="21"/>
  <c r="J374" i="21"/>
  <c r="N374" i="21"/>
  <c r="F374" i="21"/>
  <c r="M374" i="21"/>
  <c r="E374" i="21"/>
  <c r="L374" i="21"/>
  <c r="K374" i="21"/>
  <c r="I358" i="21"/>
  <c r="I362" i="21" s="1"/>
  <c r="M366" i="21"/>
  <c r="E366" i="21"/>
  <c r="E370" i="21" s="1"/>
  <c r="H358" i="21"/>
  <c r="H362" i="21" s="1"/>
  <c r="L366" i="21"/>
  <c r="O358" i="21"/>
  <c r="G358" i="21"/>
  <c r="G360" i="21" s="1"/>
  <c r="K366" i="21"/>
  <c r="N358" i="21"/>
  <c r="F358" i="21"/>
  <c r="F364" i="21" s="1"/>
  <c r="J366" i="21"/>
  <c r="M358" i="21"/>
  <c r="E358" i="21"/>
  <c r="E364" i="21" s="1"/>
  <c r="I366" i="21"/>
  <c r="I370" i="21" s="1"/>
  <c r="N366" i="21"/>
  <c r="L358" i="21"/>
  <c r="H366" i="21"/>
  <c r="H716" i="21" s="1"/>
  <c r="K358" i="21"/>
  <c r="K360" i="21" s="1"/>
  <c r="G366" i="21"/>
  <c r="G716" i="21" s="1"/>
  <c r="N350" i="21"/>
  <c r="M350" i="21"/>
  <c r="E350" i="21"/>
  <c r="E352" i="21" s="1"/>
  <c r="K350" i="21"/>
  <c r="J350" i="21"/>
  <c r="I350" i="21"/>
  <c r="I356" i="21" s="1"/>
  <c r="H350" i="21"/>
  <c r="H352" i="21" s="1"/>
  <c r="G350" i="21"/>
  <c r="G352" i="21" s="1"/>
  <c r="H342" i="21"/>
  <c r="H344" i="21" s="1"/>
  <c r="J342" i="21"/>
  <c r="J346" i="21" s="1"/>
  <c r="G342" i="21"/>
  <c r="G344" i="21" s="1"/>
  <c r="N342" i="21"/>
  <c r="F342" i="21"/>
  <c r="F348" i="21" s="1"/>
  <c r="I342" i="21"/>
  <c r="I344" i="21" s="1"/>
  <c r="M342" i="21"/>
  <c r="E342" i="21"/>
  <c r="E348" i="21" s="1"/>
  <c r="L342" i="21"/>
  <c r="K342" i="21"/>
  <c r="K344" i="21" s="1"/>
  <c r="M334" i="21"/>
  <c r="M336" i="21" s="1"/>
  <c r="E334" i="21"/>
  <c r="E340" i="21" s="1"/>
  <c r="L334" i="21"/>
  <c r="L338" i="21" s="1"/>
  <c r="K334" i="21"/>
  <c r="K340" i="21" s="1"/>
  <c r="J334" i="21"/>
  <c r="J336" i="21" s="1"/>
  <c r="I334" i="21"/>
  <c r="I338" i="21" s="1"/>
  <c r="H334" i="21"/>
  <c r="H340" i="21" s="1"/>
  <c r="G334" i="21"/>
  <c r="G340" i="21" s="1"/>
  <c r="H326" i="21"/>
  <c r="H328" i="21" s="1"/>
  <c r="G326" i="21"/>
  <c r="G330" i="21" s="1"/>
  <c r="N326" i="21"/>
  <c r="F326" i="21"/>
  <c r="F328" i="21" s="1"/>
  <c r="M326" i="21"/>
  <c r="E326" i="21"/>
  <c r="E332" i="21" s="1"/>
  <c r="L326" i="21"/>
  <c r="K326" i="21"/>
  <c r="K328" i="21" s="1"/>
  <c r="H310" i="21"/>
  <c r="H314" i="21" s="1"/>
  <c r="G310" i="21"/>
  <c r="G312" i="21" s="1"/>
  <c r="N310" i="21"/>
  <c r="F310" i="21"/>
  <c r="F316" i="21" s="1"/>
  <c r="M310" i="21"/>
  <c r="E310" i="21"/>
  <c r="E314" i="21" s="1"/>
  <c r="L310" i="21"/>
  <c r="L312" i="21" s="1"/>
  <c r="K310" i="21"/>
  <c r="K312" i="21" s="1"/>
  <c r="J310" i="21"/>
  <c r="J316" i="21" s="1"/>
  <c r="E294" i="21"/>
  <c r="E300" i="21" s="1"/>
  <c r="L286" i="21"/>
  <c r="K286" i="21"/>
  <c r="K288" i="21" s="1"/>
  <c r="J286" i="21"/>
  <c r="J288" i="21" s="1"/>
  <c r="I286" i="21"/>
  <c r="I290" i="21" s="1"/>
  <c r="M286" i="21"/>
  <c r="H286" i="21"/>
  <c r="H292" i="21" s="1"/>
  <c r="G286" i="21"/>
  <c r="G290" i="21" s="1"/>
  <c r="N286" i="21"/>
  <c r="F286" i="21"/>
  <c r="F292" i="21" s="1"/>
  <c r="H278" i="21"/>
  <c r="H282" i="21" s="1"/>
  <c r="G278" i="21"/>
  <c r="G282" i="21" s="1"/>
  <c r="N278" i="21"/>
  <c r="F278" i="21"/>
  <c r="F280" i="21" s="1"/>
  <c r="M278" i="21"/>
  <c r="E278" i="21"/>
  <c r="E284" i="21" s="1"/>
  <c r="L278" i="21"/>
  <c r="K278" i="21"/>
  <c r="K280" i="21" s="1"/>
  <c r="J278" i="21"/>
  <c r="J282" i="21" s="1"/>
  <c r="H262" i="21"/>
  <c r="H264" i="21" s="1"/>
  <c r="N262" i="21"/>
  <c r="F262" i="21"/>
  <c r="F264" i="21" s="1"/>
  <c r="M262" i="21"/>
  <c r="E262" i="21"/>
  <c r="L262" i="21"/>
  <c r="L264" i="21" s="1"/>
  <c r="K262" i="21"/>
  <c r="J262" i="21"/>
  <c r="J266" i="21" s="1"/>
  <c r="I246" i="21"/>
  <c r="I252" i="21" s="1"/>
  <c r="H246" i="21"/>
  <c r="H250" i="21" s="1"/>
  <c r="G246" i="21"/>
  <c r="G252" i="21" s="1"/>
  <c r="N246" i="21"/>
  <c r="F246" i="21"/>
  <c r="F252" i="21" s="1"/>
  <c r="M246" i="21"/>
  <c r="E246" i="21"/>
  <c r="E252" i="21" s="1"/>
  <c r="L246" i="21"/>
  <c r="O237" i="12"/>
  <c r="C614" i="12" s="1"/>
  <c r="D614" i="12" s="1"/>
  <c r="K246" i="21"/>
  <c r="J246" i="21"/>
  <c r="J250" i="21" s="1"/>
  <c r="L238" i="21"/>
  <c r="L242" i="21" s="1"/>
  <c r="K238" i="21"/>
  <c r="J238" i="21"/>
  <c r="J242" i="21" s="1"/>
  <c r="I238" i="21"/>
  <c r="I242" i="21" s="1"/>
  <c r="H238" i="21"/>
  <c r="H244" i="21" s="1"/>
  <c r="G238" i="21"/>
  <c r="G240" i="21" s="1"/>
  <c r="N238" i="21"/>
  <c r="F238" i="21"/>
  <c r="F244" i="21" s="1"/>
  <c r="H230" i="21"/>
  <c r="H232" i="21" s="1"/>
  <c r="G230" i="21"/>
  <c r="G234" i="21" s="1"/>
  <c r="N230" i="21"/>
  <c r="F230" i="21"/>
  <c r="F236" i="21" s="1"/>
  <c r="M230" i="21"/>
  <c r="E230" i="21"/>
  <c r="E234" i="21" s="1"/>
  <c r="L230" i="21"/>
  <c r="K230" i="21"/>
  <c r="K232" i="21" s="1"/>
  <c r="J230" i="21"/>
  <c r="J232" i="21" s="1"/>
  <c r="M22" i="21"/>
  <c r="E22" i="21"/>
  <c r="L22" i="21"/>
  <c r="K22" i="21"/>
  <c r="N22" i="21"/>
  <c r="J22" i="21"/>
  <c r="I22" i="21"/>
  <c r="H22" i="21"/>
  <c r="F22" i="21"/>
  <c r="G22" i="21"/>
  <c r="D28" i="21"/>
  <c r="G364" i="21"/>
  <c r="L359" i="21"/>
  <c r="M359" i="21" s="1"/>
  <c r="K361" i="21"/>
  <c r="L361" i="21" s="1"/>
  <c r="M361" i="21" s="1"/>
  <c r="N361" i="21" s="1"/>
  <c r="O361" i="21" s="1"/>
  <c r="P361" i="21" s="1"/>
  <c r="D1023" i="21" s="1"/>
  <c r="J363" i="21"/>
  <c r="K363" i="21" s="1"/>
  <c r="D360" i="21"/>
  <c r="D362" i="21"/>
  <c r="D364" i="21"/>
  <c r="G362" i="21"/>
  <c r="E356" i="21"/>
  <c r="G367" i="21"/>
  <c r="H367" i="21" s="1"/>
  <c r="I367" i="21" s="1"/>
  <c r="J367" i="21" s="1"/>
  <c r="J369" i="21"/>
  <c r="J371" i="21"/>
  <c r="K371" i="21" s="1"/>
  <c r="L371" i="21" s="1"/>
  <c r="M371" i="21" s="1"/>
  <c r="N371" i="21" s="1"/>
  <c r="O371" i="21" s="1"/>
  <c r="P371" i="21" s="1"/>
  <c r="I372" i="21"/>
  <c r="D368" i="21"/>
  <c r="D370" i="21"/>
  <c r="D372" i="21"/>
  <c r="J351" i="21"/>
  <c r="K351" i="21" s="1"/>
  <c r="H354" i="21"/>
  <c r="I353" i="21"/>
  <c r="J353" i="21" s="1"/>
  <c r="J355" i="21"/>
  <c r="K355" i="21" s="1"/>
  <c r="D352" i="21"/>
  <c r="D354" i="21"/>
  <c r="E354" i="21"/>
  <c r="D356" i="21"/>
  <c r="L199" i="21"/>
  <c r="M199" i="21" s="1"/>
  <c r="K201" i="21"/>
  <c r="J203" i="21"/>
  <c r="D200" i="21"/>
  <c r="D202" i="21"/>
  <c r="E228" i="21"/>
  <c r="E220" i="21"/>
  <c r="D204" i="21"/>
  <c r="F220" i="21"/>
  <c r="L207" i="21"/>
  <c r="M207" i="21" s="1"/>
  <c r="N207" i="21" s="1"/>
  <c r="O207" i="21" s="1"/>
  <c r="P207" i="21" s="1"/>
  <c r="D869" i="21" s="1"/>
  <c r="K209" i="21"/>
  <c r="J211" i="21"/>
  <c r="D208" i="21"/>
  <c r="D210" i="21"/>
  <c r="D212" i="21"/>
  <c r="D218" i="21"/>
  <c r="N215" i="21"/>
  <c r="O215" i="21" s="1"/>
  <c r="P215" i="21" s="1"/>
  <c r="M217" i="21"/>
  <c r="N217" i="21" s="1"/>
  <c r="O217" i="21" s="1"/>
  <c r="P217" i="21" s="1"/>
  <c r="L219" i="21"/>
  <c r="M219" i="21" s="1"/>
  <c r="N219" i="21" s="1"/>
  <c r="O219" i="21" s="1"/>
  <c r="P219" i="21" s="1"/>
  <c r="F216" i="21"/>
  <c r="D220" i="21"/>
  <c r="F218" i="21"/>
  <c r="L223" i="21"/>
  <c r="M223" i="21" s="1"/>
  <c r="N223" i="21" s="1"/>
  <c r="O223" i="21" s="1"/>
  <c r="P223" i="21" s="1"/>
  <c r="D887" i="21" s="1"/>
  <c r="K225" i="21"/>
  <c r="L225" i="21" s="1"/>
  <c r="M225" i="21" s="1"/>
  <c r="N225" i="21" s="1"/>
  <c r="O225" i="21" s="1"/>
  <c r="P225" i="21" s="1"/>
  <c r="D891" i="21" s="1"/>
  <c r="J227" i="21"/>
  <c r="K227" i="21" s="1"/>
  <c r="L227" i="21" s="1"/>
  <c r="M227" i="21" s="1"/>
  <c r="N227" i="21" s="1"/>
  <c r="O227" i="21" s="1"/>
  <c r="P227" i="21" s="1"/>
  <c r="D224" i="21"/>
  <c r="E224" i="21"/>
  <c r="D226" i="21"/>
  <c r="E226" i="21"/>
  <c r="D228" i="21"/>
  <c r="D234" i="21"/>
  <c r="L231" i="21"/>
  <c r="M231" i="21" s="1"/>
  <c r="K233" i="21"/>
  <c r="L233" i="21" s="1"/>
  <c r="J235" i="21"/>
  <c r="K235" i="21" s="1"/>
  <c r="D232" i="21"/>
  <c r="K242" i="21"/>
  <c r="D236" i="21"/>
  <c r="E248" i="21"/>
  <c r="L239" i="21"/>
  <c r="M239" i="21" s="1"/>
  <c r="K240" i="21"/>
  <c r="J240" i="21"/>
  <c r="M241" i="21"/>
  <c r="N241" i="21" s="1"/>
  <c r="O241" i="21" s="1"/>
  <c r="P241" i="21" s="1"/>
  <c r="L243" i="21"/>
  <c r="M243" i="21" s="1"/>
  <c r="N243" i="21" s="1"/>
  <c r="O243" i="21" s="1"/>
  <c r="P243" i="21" s="1"/>
  <c r="K244" i="21"/>
  <c r="D240" i="21"/>
  <c r="J244" i="21"/>
  <c r="D244" i="21"/>
  <c r="F260" i="21"/>
  <c r="H247" i="21"/>
  <c r="I247" i="21" s="1"/>
  <c r="J247" i="21" s="1"/>
  <c r="K247" i="21" s="1"/>
  <c r="K249" i="21"/>
  <c r="L249" i="21" s="1"/>
  <c r="M249" i="21" s="1"/>
  <c r="N249" i="21" s="1"/>
  <c r="O249" i="21" s="1"/>
  <c r="P249" i="21" s="1"/>
  <c r="D911" i="21" s="1"/>
  <c r="J251" i="21"/>
  <c r="K251" i="21" s="1"/>
  <c r="F255" i="21"/>
  <c r="G255" i="21" s="1"/>
  <c r="H255" i="21" s="1"/>
  <c r="I255" i="21" s="1"/>
  <c r="J255" i="21" s="1"/>
  <c r="K255" i="21" s="1"/>
  <c r="L255" i="21" s="1"/>
  <c r="D248" i="21"/>
  <c r="D250" i="21"/>
  <c r="D252" i="21"/>
  <c r="F276" i="21"/>
  <c r="E268" i="21"/>
  <c r="D258" i="21"/>
  <c r="M257" i="21"/>
  <c r="N257" i="21" s="1"/>
  <c r="O257" i="21" s="1"/>
  <c r="P257" i="21" s="1"/>
  <c r="L259" i="21"/>
  <c r="M259" i="21" s="1"/>
  <c r="N259" i="21" s="1"/>
  <c r="O259" i="21" s="1"/>
  <c r="P259" i="21" s="1"/>
  <c r="E264" i="21"/>
  <c r="D256" i="21"/>
  <c r="D260" i="21"/>
  <c r="D266" i="21"/>
  <c r="F258" i="21"/>
  <c r="D268" i="21"/>
  <c r="M263" i="21"/>
  <c r="L265" i="21"/>
  <c r="K266" i="21"/>
  <c r="K264" i="21"/>
  <c r="K267" i="21"/>
  <c r="J264" i="21"/>
  <c r="E266" i="21"/>
  <c r="L271" i="21"/>
  <c r="M271" i="21" s="1"/>
  <c r="K273" i="21"/>
  <c r="L273" i="21" s="1"/>
  <c r="M273" i="21" s="1"/>
  <c r="N273" i="21" s="1"/>
  <c r="O273" i="21" s="1"/>
  <c r="P273" i="21" s="1"/>
  <c r="J275" i="21"/>
  <c r="K275" i="21" s="1"/>
  <c r="L275" i="21" s="1"/>
  <c r="M275" i="21" s="1"/>
  <c r="N275" i="21" s="1"/>
  <c r="O275" i="21" s="1"/>
  <c r="P275" i="21" s="1"/>
  <c r="D272" i="21"/>
  <c r="D274" i="21"/>
  <c r="F272" i="21"/>
  <c r="E274" i="21"/>
  <c r="D276" i="21"/>
  <c r="F274" i="21"/>
  <c r="L279" i="21"/>
  <c r="M279" i="21" s="1"/>
  <c r="N279" i="21" s="1"/>
  <c r="O279" i="21" s="1"/>
  <c r="P279" i="21" s="1"/>
  <c r="D943" i="21" s="1"/>
  <c r="K281" i="21"/>
  <c r="L281" i="21" s="1"/>
  <c r="M281" i="21" s="1"/>
  <c r="N281" i="21" s="1"/>
  <c r="O281" i="21" s="1"/>
  <c r="P281" i="21" s="1"/>
  <c r="D947" i="21" s="1"/>
  <c r="J283" i="21"/>
  <c r="K283" i="21" s="1"/>
  <c r="L283" i="21" s="1"/>
  <c r="M283" i="21" s="1"/>
  <c r="N283" i="21" s="1"/>
  <c r="O283" i="21" s="1"/>
  <c r="P283" i="21" s="1"/>
  <c r="D280" i="21"/>
  <c r="D282" i="21"/>
  <c r="E316" i="21"/>
  <c r="E282" i="21"/>
  <c r="D284" i="21"/>
  <c r="E308" i="21"/>
  <c r="G292" i="21"/>
  <c r="L287" i="21"/>
  <c r="M287" i="21" s="1"/>
  <c r="N287" i="21" s="1"/>
  <c r="O287" i="21" s="1"/>
  <c r="P287" i="21" s="1"/>
  <c r="K289" i="21"/>
  <c r="J291" i="21"/>
  <c r="K291" i="21" s="1"/>
  <c r="L291" i="21" s="1"/>
  <c r="M291" i="21" s="1"/>
  <c r="N291" i="21" s="1"/>
  <c r="O291" i="21" s="1"/>
  <c r="P291" i="21" s="1"/>
  <c r="D953" i="21" s="1"/>
  <c r="D288" i="21"/>
  <c r="F300" i="21"/>
  <c r="D290" i="21"/>
  <c r="F288" i="21"/>
  <c r="E290" i="21"/>
  <c r="D292" i="21"/>
  <c r="D298" i="21"/>
  <c r="G288" i="21"/>
  <c r="L295" i="21"/>
  <c r="M295" i="21" s="1"/>
  <c r="K297" i="21"/>
  <c r="L297" i="21" s="1"/>
  <c r="J299" i="21"/>
  <c r="K299" i="21" s="1"/>
  <c r="E324" i="21"/>
  <c r="E304" i="21"/>
  <c r="D296" i="21"/>
  <c r="F296" i="21"/>
  <c r="D300" i="21"/>
  <c r="G316" i="21"/>
  <c r="F298" i="21"/>
  <c r="I303" i="21"/>
  <c r="J303" i="21" s="1"/>
  <c r="K303" i="21" s="1"/>
  <c r="K305" i="21"/>
  <c r="L305" i="21" s="1"/>
  <c r="M305" i="21" s="1"/>
  <c r="N305" i="21" s="1"/>
  <c r="O305" i="21" s="1"/>
  <c r="P305" i="21" s="1"/>
  <c r="D967" i="21" s="1"/>
  <c r="J307" i="21"/>
  <c r="K307" i="21" s="1"/>
  <c r="J312" i="21"/>
  <c r="D304" i="21"/>
  <c r="E306" i="21"/>
  <c r="D308" i="21"/>
  <c r="M312" i="21"/>
  <c r="N311" i="21"/>
  <c r="O311" i="21" s="1"/>
  <c r="P311" i="21" s="1"/>
  <c r="M313" i="21"/>
  <c r="N313" i="21" s="1"/>
  <c r="O313" i="21" s="1"/>
  <c r="P313" i="21" s="1"/>
  <c r="L315" i="21"/>
  <c r="M315" i="21" s="1"/>
  <c r="N315" i="21" s="1"/>
  <c r="O315" i="21" s="1"/>
  <c r="P315" i="21" s="1"/>
  <c r="D312" i="21"/>
  <c r="E320" i="21"/>
  <c r="F312" i="21"/>
  <c r="D316" i="21"/>
  <c r="F314" i="21"/>
  <c r="D322" i="21"/>
  <c r="G314" i="21"/>
  <c r="I312" i="21"/>
  <c r="J319" i="21"/>
  <c r="K319" i="21" s="1"/>
  <c r="L319" i="21" s="1"/>
  <c r="M319" i="21" s="1"/>
  <c r="M321" i="21"/>
  <c r="N321" i="21" s="1"/>
  <c r="O321" i="21" s="1"/>
  <c r="P321" i="21" s="1"/>
  <c r="D985" i="21" s="1"/>
  <c r="L323" i="21"/>
  <c r="M323" i="21" s="1"/>
  <c r="N323" i="21" s="1"/>
  <c r="O323" i="21" s="1"/>
  <c r="P323" i="21" s="1"/>
  <c r="D989" i="21" s="1"/>
  <c r="D320" i="21"/>
  <c r="E322" i="21"/>
  <c r="D324" i="21"/>
  <c r="G332" i="21"/>
  <c r="E336" i="21"/>
  <c r="H332" i="21"/>
  <c r="J328" i="21"/>
  <c r="L327" i="21"/>
  <c r="M327" i="21" s="1"/>
  <c r="N327" i="21" s="1"/>
  <c r="O327" i="21" s="1"/>
  <c r="P327" i="21" s="1"/>
  <c r="K329" i="21"/>
  <c r="L329" i="21" s="1"/>
  <c r="M329" i="21" s="1"/>
  <c r="N329" i="21" s="1"/>
  <c r="O329" i="21" s="1"/>
  <c r="P329" i="21" s="1"/>
  <c r="J330" i="21"/>
  <c r="J331" i="21"/>
  <c r="K331" i="21" s="1"/>
  <c r="L331" i="21" s="1"/>
  <c r="M331" i="21" s="1"/>
  <c r="N331" i="21" s="1"/>
  <c r="O331" i="21" s="1"/>
  <c r="P331" i="21" s="1"/>
  <c r="L336" i="21"/>
  <c r="D328" i="21"/>
  <c r="E328" i="21"/>
  <c r="D330" i="21"/>
  <c r="D338" i="21"/>
  <c r="D332" i="21"/>
  <c r="G328" i="21"/>
  <c r="D340" i="21"/>
  <c r="I328" i="21"/>
  <c r="N335" i="21"/>
  <c r="O335" i="21" s="1"/>
  <c r="P335" i="21" s="1"/>
  <c r="D999" i="21" s="1"/>
  <c r="M337" i="21"/>
  <c r="L339" i="21"/>
  <c r="D336" i="21"/>
  <c r="L343" i="21"/>
  <c r="M343" i="21" s="1"/>
  <c r="N343" i="21" s="1"/>
  <c r="O343" i="21" s="1"/>
  <c r="P343" i="21" s="1"/>
  <c r="K345" i="21"/>
  <c r="L345" i="21" s="1"/>
  <c r="M345" i="21" s="1"/>
  <c r="N345" i="21" s="1"/>
  <c r="O345" i="21" s="1"/>
  <c r="P345" i="21" s="1"/>
  <c r="J347" i="21"/>
  <c r="K347" i="21" s="1"/>
  <c r="L347" i="21" s="1"/>
  <c r="M347" i="21" s="1"/>
  <c r="N347" i="21" s="1"/>
  <c r="O347" i="21" s="1"/>
  <c r="P347" i="21" s="1"/>
  <c r="D1009" i="21" s="1"/>
  <c r="D344" i="21"/>
  <c r="D346" i="21"/>
  <c r="D348" i="21"/>
  <c r="D339" i="12"/>
  <c r="D51" i="12"/>
  <c r="E48" i="12"/>
  <c r="F48" i="12" s="1"/>
  <c r="F51" i="12" s="1"/>
  <c r="C422" i="12"/>
  <c r="D19" i="12"/>
  <c r="E16" i="12"/>
  <c r="E19" i="12" s="1"/>
  <c r="D331" i="12"/>
  <c r="E336" i="12"/>
  <c r="E339" i="12" s="1"/>
  <c r="E328" i="12"/>
  <c r="E331" i="12" s="1"/>
  <c r="D347" i="12"/>
  <c r="O325" i="12"/>
  <c r="C702" i="12" s="1"/>
  <c r="C708" i="12" s="1"/>
  <c r="O333" i="12"/>
  <c r="C710" i="12" s="1"/>
  <c r="C716" i="12" s="1"/>
  <c r="E344" i="12"/>
  <c r="F344" i="12" s="1"/>
  <c r="G344" i="12" s="1"/>
  <c r="D355" i="12"/>
  <c r="O341" i="12"/>
  <c r="C718" i="12" s="1"/>
  <c r="E355" i="12"/>
  <c r="D363" i="12"/>
  <c r="O349" i="12"/>
  <c r="C726" i="12" s="1"/>
  <c r="C732" i="12" s="1"/>
  <c r="F352" i="12"/>
  <c r="D259" i="12"/>
  <c r="D371" i="12"/>
  <c r="E363" i="12"/>
  <c r="O357" i="12"/>
  <c r="C734" i="12" s="1"/>
  <c r="F360" i="12"/>
  <c r="E256" i="12"/>
  <c r="F256" i="12" s="1"/>
  <c r="F371" i="12"/>
  <c r="G368" i="12"/>
  <c r="O365" i="12"/>
  <c r="C742" i="12" s="1"/>
  <c r="D275" i="12"/>
  <c r="E371" i="12"/>
  <c r="E275" i="12"/>
  <c r="D267" i="12"/>
  <c r="O253" i="12"/>
  <c r="C630" i="12" s="1"/>
  <c r="D291" i="12"/>
  <c r="E267" i="12"/>
  <c r="D283" i="12"/>
  <c r="D299" i="12"/>
  <c r="F261" i="12"/>
  <c r="F264" i="12"/>
  <c r="E288" i="12"/>
  <c r="E291" i="12" s="1"/>
  <c r="E280" i="12"/>
  <c r="E283" i="12" s="1"/>
  <c r="O269" i="12"/>
  <c r="C646" i="12" s="1"/>
  <c r="F272" i="12"/>
  <c r="O277" i="12"/>
  <c r="C654" i="12" s="1"/>
  <c r="D654" i="12" s="1"/>
  <c r="D243" i="12"/>
  <c r="D315" i="12"/>
  <c r="F285" i="12"/>
  <c r="D307" i="12"/>
  <c r="E293" i="12"/>
  <c r="E304" i="12"/>
  <c r="E307" i="12" s="1"/>
  <c r="F296" i="12"/>
  <c r="E309" i="12"/>
  <c r="O301" i="12"/>
  <c r="C678" i="12" s="1"/>
  <c r="D323" i="12"/>
  <c r="F312" i="12"/>
  <c r="D219" i="12"/>
  <c r="E213" i="12"/>
  <c r="E320" i="12"/>
  <c r="E323" i="12" s="1"/>
  <c r="O317" i="12"/>
  <c r="C694" i="12" s="1"/>
  <c r="D227" i="12"/>
  <c r="D211" i="12"/>
  <c r="F205" i="12"/>
  <c r="E224" i="12"/>
  <c r="E227" i="12" s="1"/>
  <c r="E208" i="12"/>
  <c r="F216" i="12"/>
  <c r="D235" i="12"/>
  <c r="E235" i="12"/>
  <c r="E240" i="12"/>
  <c r="E243" i="12" s="1"/>
  <c r="F232" i="12"/>
  <c r="D251" i="12"/>
  <c r="F245" i="12"/>
  <c r="E248" i="12"/>
  <c r="O22" i="21" l="1"/>
  <c r="O13" i="12"/>
  <c r="C390" i="12" s="1"/>
  <c r="E218" i="21"/>
  <c r="I250" i="21"/>
  <c r="H268" i="21"/>
  <c r="J280" i="21"/>
  <c r="D678" i="12"/>
  <c r="E910" i="21" s="1"/>
  <c r="C684" i="12"/>
  <c r="E312" i="21"/>
  <c r="D694" i="12"/>
  <c r="E694" i="12" s="1"/>
  <c r="C700" i="12"/>
  <c r="D718" i="12"/>
  <c r="E980" i="21" s="1"/>
  <c r="C724" i="12"/>
  <c r="E368" i="21"/>
  <c r="D734" i="12"/>
  <c r="E734" i="12" s="1"/>
  <c r="C740" i="12"/>
  <c r="G236" i="21"/>
  <c r="J360" i="21"/>
  <c r="G370" i="21"/>
  <c r="F370" i="21"/>
  <c r="I364" i="21"/>
  <c r="E372" i="21"/>
  <c r="G372" i="21"/>
  <c r="F356" i="21"/>
  <c r="H346" i="21"/>
  <c r="E344" i="21"/>
  <c r="I348" i="21"/>
  <c r="I336" i="21"/>
  <c r="I340" i="21"/>
  <c r="K336" i="21"/>
  <c r="E338" i="21"/>
  <c r="H338" i="21"/>
  <c r="F330" i="21"/>
  <c r="F332" i="21"/>
  <c r="I316" i="21"/>
  <c r="J290" i="21"/>
  <c r="E288" i="21"/>
  <c r="G280" i="21"/>
  <c r="G284" i="21"/>
  <c r="I282" i="21"/>
  <c r="E272" i="21"/>
  <c r="G266" i="21"/>
  <c r="G268" i="21"/>
  <c r="H266" i="21"/>
  <c r="I266" i="21"/>
  <c r="E260" i="21"/>
  <c r="E256" i="21"/>
  <c r="E240" i="21"/>
  <c r="E362" i="21"/>
  <c r="J344" i="21"/>
  <c r="F266" i="21"/>
  <c r="F268" i="21"/>
  <c r="E242" i="21"/>
  <c r="H364" i="21"/>
  <c r="H290" i="21"/>
  <c r="G244" i="21"/>
  <c r="F336" i="21"/>
  <c r="L314" i="21"/>
  <c r="H288" i="21"/>
  <c r="H234" i="21"/>
  <c r="H236" i="21"/>
  <c r="H360" i="21"/>
  <c r="I264" i="21"/>
  <c r="G242" i="21"/>
  <c r="F368" i="21"/>
  <c r="F372" i="21"/>
  <c r="I352" i="21"/>
  <c r="P350" i="21"/>
  <c r="D980" i="21" s="1"/>
  <c r="D988" i="21" s="1"/>
  <c r="F354" i="21"/>
  <c r="G346" i="21"/>
  <c r="G348" i="21"/>
  <c r="I346" i="21"/>
  <c r="H336" i="21"/>
  <c r="J338" i="21"/>
  <c r="H312" i="21"/>
  <c r="J314" i="21"/>
  <c r="H316" i="21"/>
  <c r="I288" i="21"/>
  <c r="I284" i="21"/>
  <c r="E280" i="21"/>
  <c r="P262" i="21"/>
  <c r="D826" i="21" s="1"/>
  <c r="E250" i="21"/>
  <c r="G250" i="21"/>
  <c r="G232" i="21"/>
  <c r="J234" i="21"/>
  <c r="I232" i="21"/>
  <c r="I236" i="21"/>
  <c r="P22" i="21"/>
  <c r="D406" i="21" s="1"/>
  <c r="H372" i="21"/>
  <c r="F362" i="21"/>
  <c r="F360" i="21"/>
  <c r="P358" i="21"/>
  <c r="D994" i="21" s="1"/>
  <c r="P366" i="21"/>
  <c r="D1008" i="21" s="1"/>
  <c r="H370" i="21"/>
  <c r="I360" i="21"/>
  <c r="G356" i="21"/>
  <c r="H348" i="21"/>
  <c r="F344" i="21"/>
  <c r="F346" i="21"/>
  <c r="J340" i="21"/>
  <c r="K338" i="21"/>
  <c r="F338" i="21"/>
  <c r="I330" i="21"/>
  <c r="H330" i="21"/>
  <c r="P310" i="21"/>
  <c r="D910" i="21" s="1"/>
  <c r="E298" i="21"/>
  <c r="E296" i="21"/>
  <c r="I292" i="21"/>
  <c r="P286" i="21"/>
  <c r="D868" i="21" s="1"/>
  <c r="D872" i="21" s="1"/>
  <c r="F290" i="21"/>
  <c r="H280" i="21"/>
  <c r="H284" i="21"/>
  <c r="F282" i="21"/>
  <c r="F284" i="21"/>
  <c r="H252" i="21"/>
  <c r="H242" i="21"/>
  <c r="H240" i="21"/>
  <c r="F240" i="21"/>
  <c r="I244" i="21"/>
  <c r="I240" i="21"/>
  <c r="F234" i="21"/>
  <c r="F232" i="21"/>
  <c r="P230" i="21"/>
  <c r="D770" i="21" s="1"/>
  <c r="G205" i="12"/>
  <c r="G214" i="21"/>
  <c r="E715" i="21"/>
  <c r="E259" i="12"/>
  <c r="F248" i="21"/>
  <c r="G248" i="21"/>
  <c r="F250" i="21"/>
  <c r="L360" i="21"/>
  <c r="D726" i="12"/>
  <c r="E360" i="21"/>
  <c r="G354" i="21"/>
  <c r="H356" i="21"/>
  <c r="E718" i="12"/>
  <c r="P342" i="21"/>
  <c r="D966" i="21" s="1"/>
  <c r="E346" i="21"/>
  <c r="D710" i="12"/>
  <c r="G336" i="21"/>
  <c r="P334" i="21"/>
  <c r="D952" i="21" s="1"/>
  <c r="G338" i="21"/>
  <c r="D702" i="12"/>
  <c r="E938" i="21"/>
  <c r="P326" i="21"/>
  <c r="D938" i="21" s="1"/>
  <c r="E330" i="21"/>
  <c r="F309" i="12"/>
  <c r="F318" i="21"/>
  <c r="K314" i="21"/>
  <c r="K316" i="21"/>
  <c r="F293" i="12"/>
  <c r="F299" i="12" s="1"/>
  <c r="F302" i="21"/>
  <c r="G285" i="12"/>
  <c r="G294" i="21"/>
  <c r="E654" i="12"/>
  <c r="E882" i="21"/>
  <c r="P278" i="21"/>
  <c r="D854" i="21" s="1"/>
  <c r="D646" i="12"/>
  <c r="G261" i="12"/>
  <c r="G270" i="21"/>
  <c r="D630" i="12"/>
  <c r="J268" i="21"/>
  <c r="G245" i="12"/>
  <c r="G254" i="21"/>
  <c r="G256" i="21" s="1"/>
  <c r="P246" i="21"/>
  <c r="D798" i="21" s="1"/>
  <c r="E614" i="12"/>
  <c r="E798" i="21"/>
  <c r="D606" i="12"/>
  <c r="P238" i="21"/>
  <c r="D784" i="21" s="1"/>
  <c r="F242" i="21"/>
  <c r="E598" i="12"/>
  <c r="E770" i="21"/>
  <c r="E232" i="21"/>
  <c r="E236" i="21"/>
  <c r="F213" i="12"/>
  <c r="F222" i="21"/>
  <c r="J356" i="21"/>
  <c r="G368" i="21"/>
  <c r="J364" i="21"/>
  <c r="L372" i="21"/>
  <c r="O362" i="21"/>
  <c r="M362" i="21"/>
  <c r="K372" i="21"/>
  <c r="J372" i="21"/>
  <c r="L363" i="21"/>
  <c r="K364" i="21"/>
  <c r="N362" i="21"/>
  <c r="N359" i="21"/>
  <c r="M360" i="21"/>
  <c r="L362" i="21"/>
  <c r="K362" i="21"/>
  <c r="J352" i="21"/>
  <c r="M372" i="21"/>
  <c r="N372" i="21"/>
  <c r="H368" i="21"/>
  <c r="I368" i="21"/>
  <c r="I354" i="21"/>
  <c r="J368" i="21"/>
  <c r="K367" i="21"/>
  <c r="J370" i="21"/>
  <c r="K369" i="21"/>
  <c r="O372" i="21"/>
  <c r="L351" i="21"/>
  <c r="K352" i="21"/>
  <c r="L355" i="21"/>
  <c r="K356" i="21"/>
  <c r="J354" i="21"/>
  <c r="K353" i="21"/>
  <c r="N199" i="21"/>
  <c r="K203" i="21"/>
  <c r="L201" i="21"/>
  <c r="L240" i="21"/>
  <c r="L209" i="21"/>
  <c r="K211" i="21"/>
  <c r="M242" i="21"/>
  <c r="I248" i="21"/>
  <c r="N242" i="21"/>
  <c r="N282" i="21"/>
  <c r="L232" i="21"/>
  <c r="M244" i="21"/>
  <c r="L235" i="21"/>
  <c r="K236" i="21"/>
  <c r="J236" i="21"/>
  <c r="L244" i="21"/>
  <c r="N231" i="21"/>
  <c r="M232" i="21"/>
  <c r="M233" i="21"/>
  <c r="L234" i="21"/>
  <c r="K234" i="21"/>
  <c r="J248" i="21"/>
  <c r="O242" i="21"/>
  <c r="O244" i="21"/>
  <c r="J252" i="21"/>
  <c r="N244" i="21"/>
  <c r="N239" i="21"/>
  <c r="M240" i="21"/>
  <c r="M255" i="21"/>
  <c r="M314" i="21"/>
  <c r="N250" i="21"/>
  <c r="K250" i="21"/>
  <c r="N314" i="21"/>
  <c r="O250" i="21"/>
  <c r="L247" i="21"/>
  <c r="K248" i="21"/>
  <c r="L251" i="21"/>
  <c r="K252" i="21"/>
  <c r="H248" i="21"/>
  <c r="L250" i="21"/>
  <c r="M250" i="21"/>
  <c r="F256" i="21"/>
  <c r="M265" i="21"/>
  <c r="L266" i="21"/>
  <c r="L267" i="21"/>
  <c r="K268" i="21"/>
  <c r="N263" i="21"/>
  <c r="M264" i="21"/>
  <c r="J284" i="21"/>
  <c r="L280" i="21"/>
  <c r="N280" i="21"/>
  <c r="M288" i="21"/>
  <c r="O280" i="21"/>
  <c r="N271" i="21"/>
  <c r="K282" i="21"/>
  <c r="N284" i="21"/>
  <c r="M284" i="21"/>
  <c r="N288" i="21"/>
  <c r="O282" i="21"/>
  <c r="L284" i="21"/>
  <c r="L282" i="21"/>
  <c r="O288" i="21"/>
  <c r="M282" i="21"/>
  <c r="M280" i="21"/>
  <c r="O284" i="21"/>
  <c r="K284" i="21"/>
  <c r="O292" i="21"/>
  <c r="M292" i="21"/>
  <c r="N292" i="21"/>
  <c r="O314" i="21"/>
  <c r="L292" i="21"/>
  <c r="J292" i="21"/>
  <c r="L289" i="21"/>
  <c r="K290" i="21"/>
  <c r="N312" i="21"/>
  <c r="L288" i="21"/>
  <c r="K292" i="21"/>
  <c r="L328" i="21"/>
  <c r="N316" i="21"/>
  <c r="L299" i="21"/>
  <c r="N328" i="21"/>
  <c r="M297" i="21"/>
  <c r="M328" i="21"/>
  <c r="N295" i="21"/>
  <c r="O312" i="21"/>
  <c r="L307" i="21"/>
  <c r="L303" i="21"/>
  <c r="M316" i="21"/>
  <c r="N336" i="21"/>
  <c r="L316" i="21"/>
  <c r="N332" i="21"/>
  <c r="O316" i="21"/>
  <c r="M332" i="21"/>
  <c r="L332" i="21"/>
  <c r="N319" i="21"/>
  <c r="O330" i="21"/>
  <c r="M330" i="21"/>
  <c r="L330" i="21"/>
  <c r="N330" i="21"/>
  <c r="O336" i="21"/>
  <c r="J332" i="21"/>
  <c r="O332" i="21"/>
  <c r="K332" i="21"/>
  <c r="O328" i="21"/>
  <c r="K330" i="21"/>
  <c r="N337" i="21"/>
  <c r="M338" i="21"/>
  <c r="L344" i="21"/>
  <c r="M339" i="21"/>
  <c r="L340" i="21"/>
  <c r="M346" i="21"/>
  <c r="N344" i="21"/>
  <c r="N346" i="21"/>
  <c r="K346" i="21"/>
  <c r="O344" i="21"/>
  <c r="M344" i="21"/>
  <c r="O346" i="21"/>
  <c r="N348" i="21"/>
  <c r="J348" i="21"/>
  <c r="M348" i="21"/>
  <c r="L346" i="21"/>
  <c r="L348" i="21"/>
  <c r="O348" i="21"/>
  <c r="K348" i="21"/>
  <c r="F328" i="12"/>
  <c r="G328" i="12" s="1"/>
  <c r="E51" i="12"/>
  <c r="G48" i="12"/>
  <c r="G51" i="12" s="1"/>
  <c r="F347" i="12"/>
  <c r="F336" i="12"/>
  <c r="F339" i="12" s="1"/>
  <c r="F16" i="12"/>
  <c r="F19" i="12" s="1"/>
  <c r="E347" i="12"/>
  <c r="G347" i="12"/>
  <c r="H344" i="12"/>
  <c r="F355" i="12"/>
  <c r="G352" i="12"/>
  <c r="F288" i="12"/>
  <c r="F291" i="12" s="1"/>
  <c r="E219" i="12"/>
  <c r="F363" i="12"/>
  <c r="G360" i="12"/>
  <c r="G371" i="12"/>
  <c r="H368" i="12"/>
  <c r="F259" i="12"/>
  <c r="G256" i="12"/>
  <c r="F280" i="12"/>
  <c r="F283" i="12" s="1"/>
  <c r="F320" i="12"/>
  <c r="F323" i="12" s="1"/>
  <c r="F267" i="12"/>
  <c r="G264" i="12"/>
  <c r="F275" i="12"/>
  <c r="G272" i="12"/>
  <c r="F304" i="12"/>
  <c r="F307" i="12" s="1"/>
  <c r="E299" i="12"/>
  <c r="E315" i="12"/>
  <c r="G296" i="12"/>
  <c r="F315" i="12"/>
  <c r="G312" i="12"/>
  <c r="F240" i="12"/>
  <c r="F243" i="12" s="1"/>
  <c r="F224" i="12"/>
  <c r="F227" i="12" s="1"/>
  <c r="E211" i="12"/>
  <c r="F208" i="12"/>
  <c r="F219" i="12"/>
  <c r="G216" i="12"/>
  <c r="F235" i="12"/>
  <c r="G232" i="12"/>
  <c r="E251" i="12"/>
  <c r="F248" i="12"/>
  <c r="E678" i="12" l="1"/>
  <c r="E1008" i="21"/>
  <c r="D992" i="21"/>
  <c r="G216" i="21"/>
  <c r="G218" i="21"/>
  <c r="G220" i="21"/>
  <c r="H205" i="12"/>
  <c r="H214" i="21"/>
  <c r="F715" i="21"/>
  <c r="G715" i="21" s="1"/>
  <c r="H715" i="21" s="1"/>
  <c r="F331" i="12"/>
  <c r="F734" i="12"/>
  <c r="F1008" i="21"/>
  <c r="E726" i="12"/>
  <c r="E994" i="21"/>
  <c r="F718" i="12"/>
  <c r="F980" i="21"/>
  <c r="E710" i="12"/>
  <c r="E966" i="21"/>
  <c r="E702" i="12"/>
  <c r="E952" i="21"/>
  <c r="F694" i="12"/>
  <c r="F938" i="21"/>
  <c r="F322" i="21"/>
  <c r="F324" i="21"/>
  <c r="F320" i="21"/>
  <c r="G309" i="12"/>
  <c r="G315" i="12" s="1"/>
  <c r="G318" i="21"/>
  <c r="F678" i="12"/>
  <c r="F910" i="21"/>
  <c r="F304" i="21"/>
  <c r="F308" i="21"/>
  <c r="F306" i="21"/>
  <c r="G293" i="12"/>
  <c r="G299" i="12" s="1"/>
  <c r="G302" i="21"/>
  <c r="G296" i="21"/>
  <c r="G300" i="21"/>
  <c r="G298" i="21"/>
  <c r="H285" i="12"/>
  <c r="H294" i="21"/>
  <c r="F654" i="12"/>
  <c r="F882" i="21"/>
  <c r="E646" i="12"/>
  <c r="E854" i="21"/>
  <c r="G274" i="21"/>
  <c r="G272" i="21"/>
  <c r="G276" i="21"/>
  <c r="H261" i="12"/>
  <c r="H270" i="21"/>
  <c r="E630" i="12"/>
  <c r="E826" i="21"/>
  <c r="G258" i="21"/>
  <c r="G260" i="21"/>
  <c r="H245" i="12"/>
  <c r="H254" i="21"/>
  <c r="F614" i="12"/>
  <c r="F798" i="21"/>
  <c r="E606" i="12"/>
  <c r="E784" i="21"/>
  <c r="F598" i="12"/>
  <c r="F770" i="21"/>
  <c r="F226" i="21"/>
  <c r="F228" i="21"/>
  <c r="F224" i="21"/>
  <c r="G213" i="12"/>
  <c r="G222" i="21"/>
  <c r="P362" i="21"/>
  <c r="O359" i="21"/>
  <c r="N360" i="21"/>
  <c r="M363" i="21"/>
  <c r="L364" i="21"/>
  <c r="P372" i="21"/>
  <c r="L369" i="21"/>
  <c r="K370" i="21"/>
  <c r="K368" i="21"/>
  <c r="L367" i="21"/>
  <c r="M355" i="21"/>
  <c r="L356" i="21"/>
  <c r="M351" i="21"/>
  <c r="L352" i="21"/>
  <c r="L353" i="21"/>
  <c r="K354" i="21"/>
  <c r="L203" i="21"/>
  <c r="M201" i="21"/>
  <c r="O199" i="21"/>
  <c r="P242" i="21"/>
  <c r="L211" i="21"/>
  <c r="M209" i="21"/>
  <c r="P314" i="21"/>
  <c r="N255" i="21"/>
  <c r="O255" i="21" s="1"/>
  <c r="P244" i="21"/>
  <c r="O231" i="21"/>
  <c r="N232" i="21"/>
  <c r="N233" i="21"/>
  <c r="M234" i="21"/>
  <c r="M235" i="21"/>
  <c r="L236" i="21"/>
  <c r="P250" i="21"/>
  <c r="O239" i="21"/>
  <c r="N240" i="21"/>
  <c r="M251" i="21"/>
  <c r="L252" i="21"/>
  <c r="M247" i="21"/>
  <c r="L248" i="21"/>
  <c r="P282" i="21"/>
  <c r="M267" i="21"/>
  <c r="L268" i="21"/>
  <c r="O263" i="21"/>
  <c r="N264" i="21"/>
  <c r="N265" i="21"/>
  <c r="M266" i="21"/>
  <c r="O271" i="21"/>
  <c r="P284" i="21"/>
  <c r="P292" i="21"/>
  <c r="P288" i="21"/>
  <c r="P280" i="21"/>
  <c r="P312" i="21"/>
  <c r="P316" i="21"/>
  <c r="P328" i="21"/>
  <c r="M289" i="21"/>
  <c r="L290" i="21"/>
  <c r="O295" i="21"/>
  <c r="M299" i="21"/>
  <c r="N297" i="21"/>
  <c r="P330" i="21"/>
  <c r="M307" i="21"/>
  <c r="P336" i="21"/>
  <c r="M303" i="21"/>
  <c r="P346" i="21"/>
  <c r="O319" i="21"/>
  <c r="P332" i="21"/>
  <c r="P344" i="21"/>
  <c r="P348" i="21"/>
  <c r="N339" i="21"/>
  <c r="M340" i="21"/>
  <c r="O337" i="21"/>
  <c r="N338" i="21"/>
  <c r="H48" i="12"/>
  <c r="I48" i="12" s="1"/>
  <c r="G336" i="12"/>
  <c r="H336" i="12" s="1"/>
  <c r="G16" i="12"/>
  <c r="G19" i="12" s="1"/>
  <c r="G320" i="12"/>
  <c r="G323" i="12" s="1"/>
  <c r="G331" i="12"/>
  <c r="H328" i="12"/>
  <c r="G288" i="12"/>
  <c r="G291" i="12" s="1"/>
  <c r="H347" i="12"/>
  <c r="I344" i="12"/>
  <c r="G355" i="12"/>
  <c r="H352" i="12"/>
  <c r="G280" i="12"/>
  <c r="H280" i="12" s="1"/>
  <c r="G363" i="12"/>
  <c r="H360" i="12"/>
  <c r="H371" i="12"/>
  <c r="I368" i="12"/>
  <c r="G304" i="12"/>
  <c r="G307" i="12" s="1"/>
  <c r="G259" i="12"/>
  <c r="H256" i="12"/>
  <c r="G267" i="12"/>
  <c r="H264" i="12"/>
  <c r="G275" i="12"/>
  <c r="H272" i="12"/>
  <c r="G240" i="12"/>
  <c r="H240" i="12" s="1"/>
  <c r="H296" i="12"/>
  <c r="H312" i="12"/>
  <c r="G224" i="12"/>
  <c r="G227" i="12" s="1"/>
  <c r="F211" i="12"/>
  <c r="G208" i="12"/>
  <c r="H216" i="12"/>
  <c r="G235" i="12"/>
  <c r="H232" i="12"/>
  <c r="F251" i="12"/>
  <c r="G248" i="12"/>
  <c r="H216" i="21" l="1"/>
  <c r="H220" i="21"/>
  <c r="H218" i="21"/>
  <c r="I205" i="12"/>
  <c r="I214" i="21"/>
  <c r="G283" i="12"/>
  <c r="G734" i="12"/>
  <c r="G1008" i="21"/>
  <c r="F726" i="12"/>
  <c r="F994" i="21"/>
  <c r="G718" i="12"/>
  <c r="G980" i="21"/>
  <c r="F710" i="12"/>
  <c r="F966" i="21"/>
  <c r="F702" i="12"/>
  <c r="F952" i="21"/>
  <c r="G694" i="12"/>
  <c r="G938" i="21"/>
  <c r="G320" i="21"/>
  <c r="G324" i="21"/>
  <c r="G322" i="21"/>
  <c r="H309" i="12"/>
  <c r="H315" i="12" s="1"/>
  <c r="H318" i="21"/>
  <c r="G678" i="12"/>
  <c r="G910" i="21"/>
  <c r="G306" i="21"/>
  <c r="G308" i="21"/>
  <c r="G304" i="21"/>
  <c r="H293" i="12"/>
  <c r="H299" i="12" s="1"/>
  <c r="H302" i="21"/>
  <c r="H298" i="21"/>
  <c r="H300" i="21"/>
  <c r="H296" i="21"/>
  <c r="I285" i="12"/>
  <c r="I294" i="21"/>
  <c r="G654" i="12"/>
  <c r="G882" i="21"/>
  <c r="F646" i="12"/>
  <c r="F854" i="21"/>
  <c r="H276" i="21"/>
  <c r="H274" i="21"/>
  <c r="H272" i="21"/>
  <c r="I261" i="12"/>
  <c r="I270" i="21"/>
  <c r="F630" i="12"/>
  <c r="F826" i="21"/>
  <c r="H260" i="21"/>
  <c r="H258" i="21"/>
  <c r="H256" i="21"/>
  <c r="I245" i="12"/>
  <c r="I254" i="21"/>
  <c r="G614" i="12"/>
  <c r="G798" i="21"/>
  <c r="F606" i="12"/>
  <c r="F784" i="21"/>
  <c r="G598" i="12"/>
  <c r="G770" i="21"/>
  <c r="G224" i="21"/>
  <c r="G228" i="21"/>
  <c r="G226" i="21"/>
  <c r="H213" i="12"/>
  <c r="H222" i="21"/>
  <c r="G219" i="12"/>
  <c r="D942" i="21"/>
  <c r="D946" i="21"/>
  <c r="D950" i="21"/>
  <c r="D998" i="21"/>
  <c r="D1002" i="21"/>
  <c r="D1012" i="21"/>
  <c r="D1016" i="21"/>
  <c r="N363" i="21"/>
  <c r="M364" i="21"/>
  <c r="P359" i="21"/>
  <c r="O360" i="21"/>
  <c r="P360" i="21" s="1"/>
  <c r="M367" i="21"/>
  <c r="L368" i="21"/>
  <c r="M369" i="21"/>
  <c r="L370" i="21"/>
  <c r="N351" i="21"/>
  <c r="M352" i="21"/>
  <c r="M353" i="21"/>
  <c r="L354" i="21"/>
  <c r="N355" i="21"/>
  <c r="M356" i="21"/>
  <c r="P199" i="21"/>
  <c r="M203" i="21"/>
  <c r="N201" i="21"/>
  <c r="N209" i="21"/>
  <c r="M211" i="21"/>
  <c r="N235" i="21"/>
  <c r="M236" i="21"/>
  <c r="O233" i="21"/>
  <c r="N234" i="21"/>
  <c r="P231" i="21"/>
  <c r="O232" i="21"/>
  <c r="P232" i="21" s="1"/>
  <c r="P239" i="21"/>
  <c r="D905" i="21" s="1"/>
  <c r="O240" i="21"/>
  <c r="P240" i="21" s="1"/>
  <c r="N247" i="21"/>
  <c r="M248" i="21"/>
  <c r="N251" i="21"/>
  <c r="M252" i="21"/>
  <c r="P255" i="21"/>
  <c r="O265" i="21"/>
  <c r="N266" i="21"/>
  <c r="P263" i="21"/>
  <c r="D925" i="21" s="1"/>
  <c r="O264" i="21"/>
  <c r="P264" i="21" s="1"/>
  <c r="N267" i="21"/>
  <c r="M268" i="21"/>
  <c r="P271" i="21"/>
  <c r="N289" i="21"/>
  <c r="M290" i="21"/>
  <c r="O297" i="21"/>
  <c r="N299" i="21"/>
  <c r="P295" i="21"/>
  <c r="D961" i="21" s="1"/>
  <c r="N303" i="21"/>
  <c r="N307" i="21"/>
  <c r="P319" i="21"/>
  <c r="D981" i="21" s="1"/>
  <c r="P337" i="21"/>
  <c r="D1003" i="21" s="1"/>
  <c r="O338" i="21"/>
  <c r="P338" i="21" s="1"/>
  <c r="O339" i="21"/>
  <c r="N340" i="21"/>
  <c r="H51" i="12"/>
  <c r="G339" i="12"/>
  <c r="H16" i="12"/>
  <c r="I16" i="12" s="1"/>
  <c r="I51" i="12"/>
  <c r="J48" i="12"/>
  <c r="H320" i="12"/>
  <c r="I320" i="12" s="1"/>
  <c r="H288" i="12"/>
  <c r="H291" i="12" s="1"/>
  <c r="H331" i="12"/>
  <c r="I328" i="12"/>
  <c r="I336" i="12"/>
  <c r="H339" i="12"/>
  <c r="I347" i="12"/>
  <c r="J344" i="12"/>
  <c r="H355" i="12"/>
  <c r="I352" i="12"/>
  <c r="H363" i="12"/>
  <c r="I360" i="12"/>
  <c r="H304" i="12"/>
  <c r="I304" i="12" s="1"/>
  <c r="I371" i="12"/>
  <c r="J368" i="12"/>
  <c r="H259" i="12"/>
  <c r="I256" i="12"/>
  <c r="H267" i="12"/>
  <c r="I264" i="12"/>
  <c r="H275" i="12"/>
  <c r="I272" i="12"/>
  <c r="G243" i="12"/>
  <c r="H283" i="12"/>
  <c r="I280" i="12"/>
  <c r="I296" i="12"/>
  <c r="H224" i="12"/>
  <c r="I224" i="12" s="1"/>
  <c r="I312" i="12"/>
  <c r="G211" i="12"/>
  <c r="H208" i="12"/>
  <c r="I216" i="12"/>
  <c r="H235" i="12"/>
  <c r="I232" i="12"/>
  <c r="H243" i="12"/>
  <c r="I240" i="12"/>
  <c r="G251" i="12"/>
  <c r="H248" i="12"/>
  <c r="I218" i="21" l="1"/>
  <c r="I216" i="21"/>
  <c r="I220" i="21"/>
  <c r="J205" i="12"/>
  <c r="J214" i="21"/>
  <c r="H734" i="12"/>
  <c r="I1008" i="21" s="1"/>
  <c r="H1008" i="21"/>
  <c r="G726" i="12"/>
  <c r="G994" i="21"/>
  <c r="H718" i="12"/>
  <c r="I980" i="21" s="1"/>
  <c r="H980" i="21"/>
  <c r="G710" i="12"/>
  <c r="G966" i="21"/>
  <c r="G702" i="12"/>
  <c r="G952" i="21"/>
  <c r="H694" i="12"/>
  <c r="I938" i="21" s="1"/>
  <c r="H938" i="21"/>
  <c r="H322" i="21"/>
  <c r="H324" i="21"/>
  <c r="H320" i="21"/>
  <c r="I309" i="12"/>
  <c r="I318" i="21"/>
  <c r="H678" i="12"/>
  <c r="I910" i="21" s="1"/>
  <c r="H910" i="21"/>
  <c r="I293" i="12"/>
  <c r="I302" i="21"/>
  <c r="H306" i="21"/>
  <c r="H308" i="21"/>
  <c r="H304" i="21"/>
  <c r="I296" i="21"/>
  <c r="I300" i="21"/>
  <c r="I298" i="21"/>
  <c r="J285" i="12"/>
  <c r="J294" i="21"/>
  <c r="H654" i="12"/>
  <c r="I882" i="21" s="1"/>
  <c r="H882" i="21"/>
  <c r="G646" i="12"/>
  <c r="G854" i="21"/>
  <c r="I274" i="21"/>
  <c r="I272" i="21"/>
  <c r="I276" i="21"/>
  <c r="J261" i="12"/>
  <c r="J270" i="21"/>
  <c r="G630" i="12"/>
  <c r="G826" i="21"/>
  <c r="I260" i="21"/>
  <c r="I258" i="21"/>
  <c r="I256" i="21"/>
  <c r="J245" i="12"/>
  <c r="J254" i="21"/>
  <c r="H614" i="12"/>
  <c r="I798" i="21" s="1"/>
  <c r="H798" i="21"/>
  <c r="G606" i="12"/>
  <c r="G784" i="21"/>
  <c r="H598" i="12"/>
  <c r="I770" i="21" s="1"/>
  <c r="H770" i="21"/>
  <c r="H226" i="21"/>
  <c r="H224" i="21"/>
  <c r="H228" i="21"/>
  <c r="I213" i="12"/>
  <c r="I219" i="12" s="1"/>
  <c r="I222" i="21"/>
  <c r="H219" i="12"/>
  <c r="D984" i="21"/>
  <c r="D1006" i="21"/>
  <c r="O363" i="21"/>
  <c r="N364" i="21"/>
  <c r="N369" i="21"/>
  <c r="M370" i="21"/>
  <c r="N367" i="21"/>
  <c r="M368" i="21"/>
  <c r="O355" i="21"/>
  <c r="N356" i="21"/>
  <c r="N353" i="21"/>
  <c r="M354" i="21"/>
  <c r="O351" i="21"/>
  <c r="N352" i="21"/>
  <c r="O201" i="21"/>
  <c r="N203" i="21"/>
  <c r="N211" i="21"/>
  <c r="O209" i="21"/>
  <c r="P233" i="21"/>
  <c r="O234" i="21"/>
  <c r="P234" i="21" s="1"/>
  <c r="O235" i="21"/>
  <c r="N236" i="21"/>
  <c r="O251" i="21"/>
  <c r="N252" i="21"/>
  <c r="O247" i="21"/>
  <c r="N248" i="21"/>
  <c r="O267" i="21"/>
  <c r="N268" i="21"/>
  <c r="P265" i="21"/>
  <c r="D929" i="21" s="1"/>
  <c r="O266" i="21"/>
  <c r="P266" i="21" s="1"/>
  <c r="O289" i="21"/>
  <c r="N290" i="21"/>
  <c r="O299" i="21"/>
  <c r="P297" i="21"/>
  <c r="O307" i="21"/>
  <c r="O303" i="21"/>
  <c r="P339" i="21"/>
  <c r="O340" i="21"/>
  <c r="P340" i="21" s="1"/>
  <c r="H19" i="12"/>
  <c r="H323" i="12"/>
  <c r="I288" i="12"/>
  <c r="I291" i="12" s="1"/>
  <c r="J51" i="12"/>
  <c r="K48" i="12"/>
  <c r="I19" i="12"/>
  <c r="J16" i="12"/>
  <c r="H307" i="12"/>
  <c r="I331" i="12"/>
  <c r="J328" i="12"/>
  <c r="I339" i="12"/>
  <c r="J336" i="12"/>
  <c r="J347" i="12"/>
  <c r="K344" i="12"/>
  <c r="I355" i="12"/>
  <c r="J352" i="12"/>
  <c r="I363" i="12"/>
  <c r="J360" i="12"/>
  <c r="J371" i="12"/>
  <c r="K368" i="12"/>
  <c r="I259" i="12"/>
  <c r="J256" i="12"/>
  <c r="I267" i="12"/>
  <c r="J264" i="12"/>
  <c r="I275" i="12"/>
  <c r="J272" i="12"/>
  <c r="I283" i="12"/>
  <c r="J280" i="12"/>
  <c r="H227" i="12"/>
  <c r="I299" i="12"/>
  <c r="J296" i="12"/>
  <c r="I307" i="12"/>
  <c r="J304" i="12"/>
  <c r="J312" i="12"/>
  <c r="I323" i="12"/>
  <c r="J320" i="12"/>
  <c r="H211" i="12"/>
  <c r="I208" i="12"/>
  <c r="J216" i="12"/>
  <c r="I227" i="12"/>
  <c r="J224" i="12"/>
  <c r="I235" i="12"/>
  <c r="J232" i="12"/>
  <c r="I243" i="12"/>
  <c r="J240" i="12"/>
  <c r="H251" i="12"/>
  <c r="I248" i="12"/>
  <c r="J220" i="21" l="1"/>
  <c r="J218" i="21"/>
  <c r="J216" i="21"/>
  <c r="K205" i="12"/>
  <c r="K214" i="21"/>
  <c r="H726" i="12"/>
  <c r="H994" i="21"/>
  <c r="H710" i="12"/>
  <c r="H966" i="21"/>
  <c r="H702" i="12"/>
  <c r="H952" i="21"/>
  <c r="I324" i="21"/>
  <c r="I320" i="21"/>
  <c r="I322" i="21"/>
  <c r="J309" i="12"/>
  <c r="J315" i="12" s="1"/>
  <c r="J318" i="21"/>
  <c r="I315" i="12"/>
  <c r="I306" i="21"/>
  <c r="I308" i="21"/>
  <c r="I304" i="21"/>
  <c r="J293" i="12"/>
  <c r="J302" i="21"/>
  <c r="K285" i="12"/>
  <c r="K294" i="21"/>
  <c r="J296" i="21"/>
  <c r="J298" i="21"/>
  <c r="J300" i="21"/>
  <c r="H646" i="12"/>
  <c r="H854" i="21"/>
  <c r="J274" i="21"/>
  <c r="J272" i="21"/>
  <c r="J276" i="21"/>
  <c r="K261" i="12"/>
  <c r="K270" i="21"/>
  <c r="H630" i="12"/>
  <c r="H826" i="21"/>
  <c r="J260" i="21"/>
  <c r="J258" i="21"/>
  <c r="J256" i="21"/>
  <c r="K245" i="12"/>
  <c r="K254" i="21"/>
  <c r="H606" i="12"/>
  <c r="H784" i="21"/>
  <c r="I228" i="21"/>
  <c r="I224" i="21"/>
  <c r="I226" i="21"/>
  <c r="J213" i="12"/>
  <c r="J222" i="21"/>
  <c r="P363" i="21"/>
  <c r="D1027" i="21" s="1"/>
  <c r="O364" i="21"/>
  <c r="P364" i="21" s="1"/>
  <c r="O367" i="21"/>
  <c r="N368" i="21"/>
  <c r="O369" i="21"/>
  <c r="N370" i="21"/>
  <c r="P351" i="21"/>
  <c r="D1017" i="21" s="1"/>
  <c r="O352" i="21"/>
  <c r="P352" i="21" s="1"/>
  <c r="O353" i="21"/>
  <c r="N354" i="21"/>
  <c r="P355" i="21"/>
  <c r="O356" i="21"/>
  <c r="P356" i="21" s="1"/>
  <c r="O203" i="21"/>
  <c r="P201" i="21"/>
  <c r="P209" i="21"/>
  <c r="D873" i="21" s="1"/>
  <c r="O211" i="21"/>
  <c r="P235" i="21"/>
  <c r="D897" i="21" s="1"/>
  <c r="O236" i="21"/>
  <c r="P236" i="21" s="1"/>
  <c r="O248" i="21"/>
  <c r="P248" i="21" s="1"/>
  <c r="P247" i="21"/>
  <c r="P251" i="21"/>
  <c r="D915" i="21" s="1"/>
  <c r="O252" i="21"/>
  <c r="P252" i="21" s="1"/>
  <c r="P267" i="21"/>
  <c r="D933" i="21" s="1"/>
  <c r="O268" i="21"/>
  <c r="P268" i="21" s="1"/>
  <c r="P289" i="21"/>
  <c r="O290" i="21"/>
  <c r="P290" i="21" s="1"/>
  <c r="P299" i="21"/>
  <c r="P303" i="21"/>
  <c r="P307" i="21"/>
  <c r="D971" i="21" s="1"/>
  <c r="J288" i="12"/>
  <c r="K288" i="12" s="1"/>
  <c r="K51" i="12"/>
  <c r="L48" i="12"/>
  <c r="J19" i="12"/>
  <c r="K16" i="12"/>
  <c r="J331" i="12"/>
  <c r="K328" i="12"/>
  <c r="J339" i="12"/>
  <c r="K336" i="12"/>
  <c r="K347" i="12"/>
  <c r="L344" i="12"/>
  <c r="J355" i="12"/>
  <c r="K352" i="12"/>
  <c r="J363" i="12"/>
  <c r="K360" i="12"/>
  <c r="K371" i="12"/>
  <c r="L368" i="12"/>
  <c r="J259" i="12"/>
  <c r="K256" i="12"/>
  <c r="J267" i="12"/>
  <c r="K264" i="12"/>
  <c r="J275" i="12"/>
  <c r="K272" i="12"/>
  <c r="J283" i="12"/>
  <c r="K280" i="12"/>
  <c r="J299" i="12"/>
  <c r="K296" i="12"/>
  <c r="J307" i="12"/>
  <c r="K304" i="12"/>
  <c r="K312" i="12"/>
  <c r="J323" i="12"/>
  <c r="K320" i="12"/>
  <c r="I211" i="12"/>
  <c r="J208" i="12"/>
  <c r="K216" i="12"/>
  <c r="J227" i="12"/>
  <c r="K224" i="12"/>
  <c r="J235" i="12"/>
  <c r="K232" i="12"/>
  <c r="J243" i="12"/>
  <c r="K240" i="12"/>
  <c r="I251" i="12"/>
  <c r="J248" i="12"/>
  <c r="K218" i="21" l="1"/>
  <c r="K220" i="21"/>
  <c r="K216" i="21"/>
  <c r="L205" i="12"/>
  <c r="L214" i="21"/>
  <c r="I994" i="21"/>
  <c r="I966" i="21"/>
  <c r="I952" i="21"/>
  <c r="J324" i="21"/>
  <c r="J322" i="21"/>
  <c r="J320" i="21"/>
  <c r="K309" i="12"/>
  <c r="K315" i="12" s="1"/>
  <c r="K318" i="21"/>
  <c r="J306" i="21"/>
  <c r="J304" i="21"/>
  <c r="J308" i="21"/>
  <c r="K293" i="12"/>
  <c r="K302" i="21"/>
  <c r="K296" i="21"/>
  <c r="K300" i="21"/>
  <c r="K298" i="21"/>
  <c r="L285" i="12"/>
  <c r="L294" i="21"/>
  <c r="I854" i="21"/>
  <c r="K272" i="21"/>
  <c r="K276" i="21"/>
  <c r="K274" i="21"/>
  <c r="L261" i="12"/>
  <c r="L270" i="21"/>
  <c r="I826" i="21"/>
  <c r="K258" i="21"/>
  <c r="K260" i="21"/>
  <c r="K256" i="21"/>
  <c r="L245" i="12"/>
  <c r="L254" i="21"/>
  <c r="I784" i="21"/>
  <c r="K213" i="12"/>
  <c r="K219" i="12" s="1"/>
  <c r="K222" i="21"/>
  <c r="J224" i="21"/>
  <c r="J226" i="21"/>
  <c r="J228" i="21"/>
  <c r="J219" i="12"/>
  <c r="D876" i="21"/>
  <c r="D922" i="21"/>
  <c r="D914" i="21"/>
  <c r="D918" i="21"/>
  <c r="D956" i="21"/>
  <c r="D960" i="21"/>
  <c r="D964" i="21"/>
  <c r="D974" i="21"/>
  <c r="D978" i="21"/>
  <c r="D970" i="21"/>
  <c r="D1020" i="21"/>
  <c r="P369" i="21"/>
  <c r="O370" i="21"/>
  <c r="P370" i="21" s="1"/>
  <c r="P367" i="21"/>
  <c r="O368" i="21"/>
  <c r="P368" i="21" s="1"/>
  <c r="P353" i="21"/>
  <c r="O354" i="21"/>
  <c r="P354" i="21" s="1"/>
  <c r="P203" i="21"/>
  <c r="P211" i="21"/>
  <c r="D877" i="21" s="1"/>
  <c r="J291" i="12"/>
  <c r="L51" i="12"/>
  <c r="M48" i="12"/>
  <c r="K19" i="12"/>
  <c r="L16" i="12"/>
  <c r="K331" i="12"/>
  <c r="L328" i="12"/>
  <c r="K339" i="12"/>
  <c r="L336" i="12"/>
  <c r="L347" i="12"/>
  <c r="M344" i="12"/>
  <c r="K355" i="12"/>
  <c r="L352" i="12"/>
  <c r="K363" i="12"/>
  <c r="L360" i="12"/>
  <c r="L371" i="12"/>
  <c r="M368" i="12"/>
  <c r="K259" i="12"/>
  <c r="L256" i="12"/>
  <c r="K267" i="12"/>
  <c r="L264" i="12"/>
  <c r="K275" i="12"/>
  <c r="L272" i="12"/>
  <c r="K283" i="12"/>
  <c r="L280" i="12"/>
  <c r="K291" i="12"/>
  <c r="L288" i="12"/>
  <c r="K299" i="12"/>
  <c r="L296" i="12"/>
  <c r="K307" i="12"/>
  <c r="L304" i="12"/>
  <c r="L312" i="12"/>
  <c r="K323" i="12"/>
  <c r="L320" i="12"/>
  <c r="K208" i="12"/>
  <c r="J211" i="12"/>
  <c r="L216" i="12"/>
  <c r="K227" i="12"/>
  <c r="L224" i="12"/>
  <c r="K235" i="12"/>
  <c r="L232" i="12"/>
  <c r="K243" i="12"/>
  <c r="L240" i="12"/>
  <c r="J251" i="12"/>
  <c r="K248" i="12"/>
  <c r="L216" i="21" l="1"/>
  <c r="L218" i="21"/>
  <c r="L220" i="21"/>
  <c r="M205" i="12"/>
  <c r="M214" i="21"/>
  <c r="L309" i="12"/>
  <c r="L315" i="12" s="1"/>
  <c r="L318" i="21"/>
  <c r="K322" i="21"/>
  <c r="K324" i="21"/>
  <c r="K320" i="21"/>
  <c r="K308" i="21"/>
  <c r="K304" i="21"/>
  <c r="K306" i="21"/>
  <c r="L293" i="12"/>
  <c r="L299" i="12" s="1"/>
  <c r="L302" i="21"/>
  <c r="M285" i="12"/>
  <c r="M294" i="21"/>
  <c r="L298" i="21"/>
  <c r="L296" i="21"/>
  <c r="L300" i="21"/>
  <c r="L272" i="21"/>
  <c r="L276" i="21"/>
  <c r="L274" i="21"/>
  <c r="M261" i="12"/>
  <c r="M270" i="21"/>
  <c r="M245" i="12"/>
  <c r="M254" i="21"/>
  <c r="L258" i="21"/>
  <c r="L256" i="21"/>
  <c r="L260" i="21"/>
  <c r="K224" i="21"/>
  <c r="K228" i="21"/>
  <c r="K226" i="21"/>
  <c r="L213" i="12"/>
  <c r="L219" i="12" s="1"/>
  <c r="L222" i="21"/>
  <c r="D880" i="21"/>
  <c r="N48" i="12"/>
  <c r="M51" i="12"/>
  <c r="L19" i="12"/>
  <c r="M16" i="12"/>
  <c r="M328" i="12"/>
  <c r="L331" i="12"/>
  <c r="L339" i="12"/>
  <c r="M336" i="12"/>
  <c r="M347" i="12"/>
  <c r="N344" i="12"/>
  <c r="M352" i="12"/>
  <c r="L355" i="12"/>
  <c r="L363" i="12"/>
  <c r="M360" i="12"/>
  <c r="N368" i="12"/>
  <c r="M371" i="12"/>
  <c r="L259" i="12"/>
  <c r="M256" i="12"/>
  <c r="L267" i="12"/>
  <c r="M264" i="12"/>
  <c r="L275" i="12"/>
  <c r="M272" i="12"/>
  <c r="L283" i="12"/>
  <c r="M280" i="12"/>
  <c r="L291" i="12"/>
  <c r="M288" i="12"/>
  <c r="M296" i="12"/>
  <c r="L307" i="12"/>
  <c r="M304" i="12"/>
  <c r="M312" i="12"/>
  <c r="M320" i="12"/>
  <c r="L323" i="12"/>
  <c r="K211" i="12"/>
  <c r="L208" i="12"/>
  <c r="M216" i="12"/>
  <c r="M224" i="12"/>
  <c r="L227" i="12"/>
  <c r="L235" i="12"/>
  <c r="M232" i="12"/>
  <c r="M240" i="12"/>
  <c r="L243" i="12"/>
  <c r="K251" i="12"/>
  <c r="L248" i="12"/>
  <c r="M216" i="21" l="1"/>
  <c r="M220" i="21"/>
  <c r="M218" i="21"/>
  <c r="N205" i="12"/>
  <c r="O205" i="12" s="1"/>
  <c r="N214" i="21"/>
  <c r="L322" i="21"/>
  <c r="L320" i="21"/>
  <c r="L324" i="21"/>
  <c r="M309" i="12"/>
  <c r="M315" i="12" s="1"/>
  <c r="M318" i="21"/>
  <c r="L306" i="21"/>
  <c r="L304" i="21"/>
  <c r="L308" i="21"/>
  <c r="M293" i="12"/>
  <c r="M302" i="21"/>
  <c r="M296" i="21"/>
  <c r="M298" i="21"/>
  <c r="M300" i="21"/>
  <c r="N285" i="12"/>
  <c r="N294" i="21"/>
  <c r="M274" i="21"/>
  <c r="M276" i="21"/>
  <c r="M272" i="21"/>
  <c r="N261" i="12"/>
  <c r="O261" i="12" s="1"/>
  <c r="N270" i="21"/>
  <c r="M260" i="21"/>
  <c r="M258" i="21"/>
  <c r="M256" i="21"/>
  <c r="N245" i="12"/>
  <c r="N254" i="21"/>
  <c r="M213" i="12"/>
  <c r="M222" i="21"/>
  <c r="L226" i="21"/>
  <c r="L224" i="21"/>
  <c r="L228" i="21"/>
  <c r="N51" i="12"/>
  <c r="O51" i="12" s="1"/>
  <c r="C425" i="12"/>
  <c r="M19" i="12"/>
  <c r="N16" i="12"/>
  <c r="M331" i="12"/>
  <c r="N328" i="12"/>
  <c r="M339" i="12"/>
  <c r="N336" i="12"/>
  <c r="N347" i="12"/>
  <c r="O347" i="12" s="1"/>
  <c r="O344" i="12"/>
  <c r="C721" i="12" s="1"/>
  <c r="M355" i="12"/>
  <c r="N352" i="12"/>
  <c r="M363" i="12"/>
  <c r="N360" i="12"/>
  <c r="N371" i="12"/>
  <c r="O371" i="12" s="1"/>
  <c r="C745" i="12"/>
  <c r="N256" i="12"/>
  <c r="M259" i="12"/>
  <c r="M267" i="12"/>
  <c r="N264" i="12"/>
  <c r="M275" i="12"/>
  <c r="N272" i="12"/>
  <c r="M283" i="12"/>
  <c r="N280" i="12"/>
  <c r="M291" i="12"/>
  <c r="N288" i="12"/>
  <c r="N296" i="12"/>
  <c r="M299" i="12"/>
  <c r="M307" i="12"/>
  <c r="N304" i="12"/>
  <c r="N312" i="12"/>
  <c r="M323" i="12"/>
  <c r="N320" i="12"/>
  <c r="L211" i="12"/>
  <c r="M208" i="12"/>
  <c r="M219" i="12"/>
  <c r="N216" i="12"/>
  <c r="M227" i="12"/>
  <c r="N224" i="12"/>
  <c r="M235" i="12"/>
  <c r="N232" i="12"/>
  <c r="M243" i="12"/>
  <c r="N240" i="12"/>
  <c r="C617" i="12" s="1"/>
  <c r="L251" i="12"/>
  <c r="M248" i="12"/>
  <c r="N216" i="21" l="1"/>
  <c r="N220" i="21"/>
  <c r="N218" i="21"/>
  <c r="O214" i="21"/>
  <c r="P214" i="21" s="1"/>
  <c r="D742" i="21" s="1"/>
  <c r="C582" i="12"/>
  <c r="D582" i="12" s="1"/>
  <c r="D721" i="12"/>
  <c r="D617" i="12"/>
  <c r="C620" i="12"/>
  <c r="N309" i="12"/>
  <c r="O318" i="21" s="1"/>
  <c r="N318" i="21"/>
  <c r="M324" i="21"/>
  <c r="M322" i="21"/>
  <c r="M320" i="21"/>
  <c r="M306" i="21"/>
  <c r="M304" i="21"/>
  <c r="M308" i="21"/>
  <c r="N293" i="12"/>
  <c r="O302" i="21" s="1"/>
  <c r="N302" i="21"/>
  <c r="O294" i="21"/>
  <c r="P294" i="21" s="1"/>
  <c r="D882" i="21" s="1"/>
  <c r="O285" i="12"/>
  <c r="C662" i="12" s="1"/>
  <c r="N296" i="21"/>
  <c r="N298" i="21"/>
  <c r="N300" i="21"/>
  <c r="O270" i="21"/>
  <c r="C638" i="12"/>
  <c r="N276" i="21"/>
  <c r="N274" i="21"/>
  <c r="N272" i="21"/>
  <c r="N258" i="21"/>
  <c r="N260" i="21"/>
  <c r="N256" i="21"/>
  <c r="O254" i="21"/>
  <c r="O245" i="12"/>
  <c r="C622" i="12" s="1"/>
  <c r="M228" i="21"/>
  <c r="M224" i="21"/>
  <c r="M226" i="21"/>
  <c r="N213" i="12"/>
  <c r="N222" i="21"/>
  <c r="N19" i="12"/>
  <c r="N331" i="12"/>
  <c r="O331" i="12" s="1"/>
  <c r="O328" i="12"/>
  <c r="C705" i="12" s="1"/>
  <c r="N339" i="12"/>
  <c r="O339" i="12" s="1"/>
  <c r="O336" i="12"/>
  <c r="C713" i="12" s="1"/>
  <c r="N355" i="12"/>
  <c r="O355" i="12" s="1"/>
  <c r="O352" i="12"/>
  <c r="C729" i="12" s="1"/>
  <c r="N363" i="12"/>
  <c r="O363" i="12" s="1"/>
  <c r="C737" i="12"/>
  <c r="N259" i="12"/>
  <c r="O259" i="12" s="1"/>
  <c r="C633" i="12"/>
  <c r="N267" i="12"/>
  <c r="O267" i="12" s="1"/>
  <c r="C641" i="12"/>
  <c r="D641" i="12" s="1"/>
  <c r="E641" i="12" s="1"/>
  <c r="F641" i="12" s="1"/>
  <c r="G641" i="12" s="1"/>
  <c r="H641" i="12" s="1"/>
  <c r="N275" i="12"/>
  <c r="O275" i="12" s="1"/>
  <c r="C649" i="12"/>
  <c r="N283" i="12"/>
  <c r="O283" i="12" s="1"/>
  <c r="C657" i="12"/>
  <c r="N291" i="12"/>
  <c r="O291" i="12" s="1"/>
  <c r="C665" i="12"/>
  <c r="D665" i="12" s="1"/>
  <c r="E665" i="12" s="1"/>
  <c r="F665" i="12" s="1"/>
  <c r="G665" i="12" s="1"/>
  <c r="H665" i="12" s="1"/>
  <c r="C673" i="12"/>
  <c r="D673" i="12" s="1"/>
  <c r="E673" i="12" s="1"/>
  <c r="F673" i="12" s="1"/>
  <c r="G673" i="12" s="1"/>
  <c r="H673" i="12" s="1"/>
  <c r="N307" i="12"/>
  <c r="O307" i="12" s="1"/>
  <c r="C689" i="12"/>
  <c r="D689" i="12" s="1"/>
  <c r="E689" i="12" s="1"/>
  <c r="F689" i="12" s="1"/>
  <c r="G689" i="12" s="1"/>
  <c r="H689" i="12" s="1"/>
  <c r="N323" i="12"/>
  <c r="O323" i="12" s="1"/>
  <c r="C697" i="12"/>
  <c r="M211" i="12"/>
  <c r="N208" i="12"/>
  <c r="C593" i="12"/>
  <c r="D593" i="12" s="1"/>
  <c r="E593" i="12" s="1"/>
  <c r="F593" i="12" s="1"/>
  <c r="G593" i="12" s="1"/>
  <c r="H593" i="12" s="1"/>
  <c r="N227" i="12"/>
  <c r="O227" i="12" s="1"/>
  <c r="C601" i="12"/>
  <c r="N235" i="12"/>
  <c r="O235" i="12" s="1"/>
  <c r="C609" i="12"/>
  <c r="N243" i="12"/>
  <c r="O243" i="12" s="1"/>
  <c r="M251" i="12"/>
  <c r="N248" i="12"/>
  <c r="C625" i="12" s="1"/>
  <c r="D625" i="12" s="1"/>
  <c r="E625" i="12" s="1"/>
  <c r="F625" i="12" s="1"/>
  <c r="G625" i="12" s="1"/>
  <c r="H625" i="12" s="1"/>
  <c r="N219" i="12" l="1"/>
  <c r="O219" i="12" s="1"/>
  <c r="O213" i="12"/>
  <c r="C590" i="12" s="1"/>
  <c r="N315" i="12"/>
  <c r="O315" i="12" s="1"/>
  <c r="O309" i="12"/>
  <c r="C686" i="12" s="1"/>
  <c r="C692" i="12" s="1"/>
  <c r="O293" i="12"/>
  <c r="C670" i="12" s="1"/>
  <c r="C676" i="12" s="1"/>
  <c r="N299" i="12"/>
  <c r="O299" i="12" s="1"/>
  <c r="E582" i="12"/>
  <c r="E742" i="21"/>
  <c r="O220" i="21"/>
  <c r="P220" i="21" s="1"/>
  <c r="O216" i="21"/>
  <c r="P216" i="21" s="1"/>
  <c r="O218" i="21"/>
  <c r="P218" i="21" s="1"/>
  <c r="D609" i="12"/>
  <c r="C612" i="12"/>
  <c r="D737" i="12"/>
  <c r="D729" i="12"/>
  <c r="D724" i="12"/>
  <c r="E721" i="12"/>
  <c r="D713" i="12"/>
  <c r="D705" i="12"/>
  <c r="D697" i="12"/>
  <c r="D681" i="12"/>
  <c r="D657" i="12"/>
  <c r="C660" i="12"/>
  <c r="D649" i="12"/>
  <c r="C652" i="12"/>
  <c r="D633" i="12"/>
  <c r="C636" i="12"/>
  <c r="E617" i="12"/>
  <c r="D620" i="12"/>
  <c r="D601" i="12"/>
  <c r="C604" i="12"/>
  <c r="D390" i="12"/>
  <c r="E406" i="21" s="1"/>
  <c r="N322" i="21"/>
  <c r="N324" i="21"/>
  <c r="N320" i="21"/>
  <c r="O322" i="21"/>
  <c r="O324" i="21"/>
  <c r="O320" i="21"/>
  <c r="P318" i="21"/>
  <c r="D924" i="21" s="1"/>
  <c r="N306" i="21"/>
  <c r="N304" i="21"/>
  <c r="N308" i="21"/>
  <c r="O306" i="21"/>
  <c r="O304" i="21"/>
  <c r="O308" i="21"/>
  <c r="P302" i="21"/>
  <c r="D896" i="21" s="1"/>
  <c r="C668" i="12"/>
  <c r="D662" i="12"/>
  <c r="D894" i="21"/>
  <c r="D886" i="21"/>
  <c r="D890" i="21"/>
  <c r="O296" i="21"/>
  <c r="P296" i="21" s="1"/>
  <c r="O298" i="21"/>
  <c r="P298" i="21" s="1"/>
  <c r="O300" i="21"/>
  <c r="P300" i="21" s="1"/>
  <c r="C644" i="12"/>
  <c r="D638" i="12"/>
  <c r="O276" i="21"/>
  <c r="P276" i="21" s="1"/>
  <c r="O274" i="21"/>
  <c r="P274" i="21" s="1"/>
  <c r="O272" i="21"/>
  <c r="P272" i="21" s="1"/>
  <c r="P270" i="21"/>
  <c r="D840" i="21" s="1"/>
  <c r="C628" i="12"/>
  <c r="D622" i="12"/>
  <c r="O258" i="21"/>
  <c r="P258" i="21" s="1"/>
  <c r="O260" i="21"/>
  <c r="P260" i="21" s="1"/>
  <c r="O256" i="21"/>
  <c r="P256" i="21" s="1"/>
  <c r="P254" i="21"/>
  <c r="D812" i="21" s="1"/>
  <c r="N228" i="21"/>
  <c r="N224" i="21"/>
  <c r="N226" i="21"/>
  <c r="O222" i="21"/>
  <c r="O19" i="12"/>
  <c r="N211" i="12"/>
  <c r="O211" i="12" s="1"/>
  <c r="C585" i="12"/>
  <c r="N251" i="12"/>
  <c r="O251" i="12" s="1"/>
  <c r="D686" i="12" l="1"/>
  <c r="E924" i="21" s="1"/>
  <c r="D670" i="12"/>
  <c r="D676" i="12" s="1"/>
  <c r="F582" i="12"/>
  <c r="F742" i="21"/>
  <c r="P324" i="21"/>
  <c r="P322" i="21"/>
  <c r="P306" i="21"/>
  <c r="E609" i="12"/>
  <c r="D612" i="12"/>
  <c r="D585" i="12"/>
  <c r="P308" i="21"/>
  <c r="P320" i="21"/>
  <c r="P304" i="21"/>
  <c r="E737" i="12"/>
  <c r="D740" i="12"/>
  <c r="E729" i="12"/>
  <c r="D732" i="12"/>
  <c r="E724" i="12"/>
  <c r="F721" i="12"/>
  <c r="E713" i="12"/>
  <c r="D716" i="12"/>
  <c r="E705" i="12"/>
  <c r="D708" i="12"/>
  <c r="E697" i="12"/>
  <c r="D700" i="12"/>
  <c r="E681" i="12"/>
  <c r="D684" i="12"/>
  <c r="D660" i="12"/>
  <c r="E657" i="12"/>
  <c r="D652" i="12"/>
  <c r="E649" i="12"/>
  <c r="E633" i="12"/>
  <c r="D636" i="12"/>
  <c r="F617" i="12"/>
  <c r="E620" i="12"/>
  <c r="E601" i="12"/>
  <c r="D604" i="12"/>
  <c r="E390" i="12"/>
  <c r="F406" i="21" s="1"/>
  <c r="D393" i="12"/>
  <c r="D928" i="21"/>
  <c r="D932" i="21"/>
  <c r="D936" i="21"/>
  <c r="D908" i="21"/>
  <c r="D904" i="21"/>
  <c r="D900" i="21"/>
  <c r="E662" i="12"/>
  <c r="D668" i="12"/>
  <c r="E638" i="12"/>
  <c r="E840" i="21"/>
  <c r="D644" i="12"/>
  <c r="E622" i="12"/>
  <c r="E812" i="21"/>
  <c r="D628" i="12"/>
  <c r="O226" i="21"/>
  <c r="P226" i="21" s="1"/>
  <c r="O224" i="21"/>
  <c r="P224" i="21" s="1"/>
  <c r="O228" i="21"/>
  <c r="P228" i="21" s="1"/>
  <c r="P222" i="21"/>
  <c r="D756" i="21" s="1"/>
  <c r="C596" i="12"/>
  <c r="D590" i="12"/>
  <c r="C27" i="12"/>
  <c r="E686" i="12" l="1"/>
  <c r="F686" i="12" s="1"/>
  <c r="D692" i="12"/>
  <c r="E896" i="21"/>
  <c r="E670" i="12"/>
  <c r="E676" i="12" s="1"/>
  <c r="G582" i="12"/>
  <c r="G742" i="21"/>
  <c r="F609" i="12"/>
  <c r="E612" i="12"/>
  <c r="E585" i="12"/>
  <c r="D588" i="12"/>
  <c r="F737" i="12"/>
  <c r="E740" i="12"/>
  <c r="F729" i="12"/>
  <c r="E732" i="12"/>
  <c r="G721" i="12"/>
  <c r="F724" i="12"/>
  <c r="F713" i="12"/>
  <c r="E716" i="12"/>
  <c r="F705" i="12"/>
  <c r="E708" i="12"/>
  <c r="E700" i="12"/>
  <c r="F697" i="12"/>
  <c r="E684" i="12"/>
  <c r="F681" i="12"/>
  <c r="F657" i="12"/>
  <c r="E660" i="12"/>
  <c r="F649" i="12"/>
  <c r="E652" i="12"/>
  <c r="F633" i="12"/>
  <c r="E636" i="12"/>
  <c r="G617" i="12"/>
  <c r="F620" i="12"/>
  <c r="F601" i="12"/>
  <c r="E604" i="12"/>
  <c r="F390" i="12"/>
  <c r="G406" i="21" s="1"/>
  <c r="E393" i="12"/>
  <c r="D396" i="12"/>
  <c r="F662" i="12"/>
  <c r="E668" i="12"/>
  <c r="F638" i="12"/>
  <c r="F840" i="21"/>
  <c r="E644" i="12"/>
  <c r="F622" i="12"/>
  <c r="F812" i="21"/>
  <c r="E628" i="12"/>
  <c r="E590" i="12"/>
  <c r="E756" i="21"/>
  <c r="D596" i="12"/>
  <c r="B749" i="12"/>
  <c r="E692" i="12" l="1"/>
  <c r="F924" i="21"/>
  <c r="F670" i="12"/>
  <c r="F676" i="12" s="1"/>
  <c r="F896" i="21"/>
  <c r="D389" i="12"/>
  <c r="H582" i="12"/>
  <c r="I742" i="21" s="1"/>
  <c r="H742" i="21"/>
  <c r="G609" i="12"/>
  <c r="F612" i="12"/>
  <c r="E588" i="12"/>
  <c r="F585" i="12"/>
  <c r="G737" i="12"/>
  <c r="F740" i="12"/>
  <c r="G729" i="12"/>
  <c r="F732" i="12"/>
  <c r="H721" i="12"/>
  <c r="H724" i="12" s="1"/>
  <c r="G724" i="12"/>
  <c r="G713" i="12"/>
  <c r="F716" i="12"/>
  <c r="G705" i="12"/>
  <c r="F708" i="12"/>
  <c r="G697" i="12"/>
  <c r="F700" i="12"/>
  <c r="G681" i="12"/>
  <c r="F684" i="12"/>
  <c r="G657" i="12"/>
  <c r="F660" i="12"/>
  <c r="G649" i="12"/>
  <c r="F652" i="12"/>
  <c r="G633" i="12"/>
  <c r="F636" i="12"/>
  <c r="H617" i="12"/>
  <c r="H620" i="12" s="1"/>
  <c r="G620" i="12"/>
  <c r="F604" i="12"/>
  <c r="G601" i="12"/>
  <c r="G390" i="12"/>
  <c r="H406" i="21" s="1"/>
  <c r="F393" i="12"/>
  <c r="E396" i="12"/>
  <c r="G686" i="12"/>
  <c r="G924" i="21"/>
  <c r="F692" i="12"/>
  <c r="G670" i="12"/>
  <c r="G896" i="21"/>
  <c r="G662" i="12"/>
  <c r="F668" i="12"/>
  <c r="G638" i="12"/>
  <c r="G840" i="21"/>
  <c r="F644" i="12"/>
  <c r="G622" i="12"/>
  <c r="G812" i="21"/>
  <c r="F628" i="12"/>
  <c r="F590" i="12"/>
  <c r="F756" i="21"/>
  <c r="E596" i="12"/>
  <c r="K83" i="14"/>
  <c r="K84" i="14"/>
  <c r="K85" i="14"/>
  <c r="K86" i="14"/>
  <c r="K60" i="14"/>
  <c r="G14" i="15"/>
  <c r="D16" i="16"/>
  <c r="E16" i="16" s="1"/>
  <c r="C20" i="16"/>
  <c r="D22" i="16" s="1"/>
  <c r="D20" i="16"/>
  <c r="E20" i="16"/>
  <c r="F20" i="16"/>
  <c r="G20" i="16"/>
  <c r="H20" i="16"/>
  <c r="I20" i="16"/>
  <c r="D18" i="18"/>
  <c r="K33" i="13"/>
  <c r="D33" i="13"/>
  <c r="L33" i="13" s="1"/>
  <c r="C37" i="18"/>
  <c r="B42" i="18" s="1"/>
  <c r="I25" i="18"/>
  <c r="H41" i="18" s="1"/>
  <c r="I41" i="18" s="1"/>
  <c r="C43" i="22"/>
  <c r="G30" i="18"/>
  <c r="H30" i="18"/>
  <c r="I30" i="18" s="1"/>
  <c r="F30" i="18"/>
  <c r="D31" i="18"/>
  <c r="D32" i="18" s="1"/>
  <c r="D33" i="18" s="1"/>
  <c r="D34" i="18" s="1"/>
  <c r="D35" i="18" s="1"/>
  <c r="D11" i="16"/>
  <c r="E11" i="16" s="1"/>
  <c r="F11" i="16" s="1"/>
  <c r="G11" i="16" s="1"/>
  <c r="H11" i="16" s="1"/>
  <c r="I11" i="16" s="1"/>
  <c r="D44" i="27"/>
  <c r="E42" i="27"/>
  <c r="E26" i="27"/>
  <c r="D58" i="14"/>
  <c r="D81" i="14"/>
  <c r="D123" i="14"/>
  <c r="D156" i="14"/>
  <c r="D168" i="14"/>
  <c r="D112" i="14"/>
  <c r="D100" i="14"/>
  <c r="C38" i="18"/>
  <c r="N150" i="18"/>
  <c r="K13" i="14"/>
  <c r="H48" i="15"/>
  <c r="K48" i="15" s="1"/>
  <c r="F12" i="18"/>
  <c r="C88" i="13" s="1"/>
  <c r="K25" i="14"/>
  <c r="K142" i="14"/>
  <c r="K160" i="14"/>
  <c r="E23" i="21"/>
  <c r="F23" i="21" s="1"/>
  <c r="G23" i="21" s="1"/>
  <c r="D32" i="21"/>
  <c r="D42" i="21"/>
  <c r="D48" i="21"/>
  <c r="D56" i="21"/>
  <c r="D66" i="21"/>
  <c r="D82" i="21"/>
  <c r="D90" i="21"/>
  <c r="D96" i="21"/>
  <c r="D112" i="21"/>
  <c r="D128" i="21"/>
  <c r="D138" i="21"/>
  <c r="D148" i="21"/>
  <c r="D156" i="21"/>
  <c r="D172" i="21"/>
  <c r="D188" i="21"/>
  <c r="D192" i="21"/>
  <c r="D380" i="21"/>
  <c r="D384" i="21"/>
  <c r="E25" i="21"/>
  <c r="F25" i="21" s="1"/>
  <c r="H14" i="15"/>
  <c r="F14" i="15"/>
  <c r="D23" i="15"/>
  <c r="C49" i="20"/>
  <c r="F48" i="15"/>
  <c r="D57" i="15"/>
  <c r="C45" i="20"/>
  <c r="D36" i="20"/>
  <c r="E190" i="14"/>
  <c r="E188" i="14"/>
  <c r="E260" i="14"/>
  <c r="E259" i="14"/>
  <c r="E262" i="14"/>
  <c r="E321" i="14"/>
  <c r="E326" i="14"/>
  <c r="J369" i="14" s="1"/>
  <c r="E32" i="20"/>
  <c r="E26" i="20"/>
  <c r="D399" i="12"/>
  <c r="C402" i="12"/>
  <c r="C514" i="12"/>
  <c r="D511" i="12"/>
  <c r="C442" i="12"/>
  <c r="D439" i="12"/>
  <c r="C434" i="12"/>
  <c r="D431" i="12"/>
  <c r="C426" i="12"/>
  <c r="D423" i="12"/>
  <c r="C418" i="12"/>
  <c r="D415" i="12"/>
  <c r="C410" i="12"/>
  <c r="D407" i="12"/>
  <c r="C450" i="12"/>
  <c r="D447" i="12"/>
  <c r="C458" i="12"/>
  <c r="D455" i="12"/>
  <c r="C466" i="12"/>
  <c r="D463" i="12"/>
  <c r="C474" i="12"/>
  <c r="D471" i="12"/>
  <c r="C482" i="12"/>
  <c r="D479" i="12"/>
  <c r="C490" i="12"/>
  <c r="D487" i="12"/>
  <c r="C498" i="12"/>
  <c r="D495" i="12"/>
  <c r="C506" i="12"/>
  <c r="D503" i="12"/>
  <c r="C522" i="12"/>
  <c r="D519" i="12"/>
  <c r="C530" i="12"/>
  <c r="D527" i="12"/>
  <c r="C538" i="12"/>
  <c r="D535" i="12"/>
  <c r="C546" i="12"/>
  <c r="D543" i="12"/>
  <c r="C554" i="12"/>
  <c r="D551" i="12"/>
  <c r="C562" i="12"/>
  <c r="D559" i="12"/>
  <c r="C570" i="12"/>
  <c r="D567" i="12"/>
  <c r="C578" i="12"/>
  <c r="D575" i="12"/>
  <c r="C746" i="12"/>
  <c r="D743" i="12"/>
  <c r="C754" i="12"/>
  <c r="D751" i="12"/>
  <c r="I7" i="14"/>
  <c r="K7" i="14" s="1"/>
  <c r="F190" i="14"/>
  <c r="I221" i="14" s="1"/>
  <c r="F188" i="14"/>
  <c r="F260" i="14"/>
  <c r="F259" i="14"/>
  <c r="F262" i="14"/>
  <c r="I309" i="14" s="1"/>
  <c r="F321" i="14"/>
  <c r="F326" i="14"/>
  <c r="F370" i="14" s="1"/>
  <c r="E57" i="17"/>
  <c r="E61" i="17"/>
  <c r="E64" i="17"/>
  <c r="E68" i="17"/>
  <c r="E71" i="17"/>
  <c r="E74" i="17"/>
  <c r="E77" i="17" s="1"/>
  <c r="E80" i="17" s="1"/>
  <c r="F32" i="20"/>
  <c r="F26" i="20"/>
  <c r="E399" i="12"/>
  <c r="D402" i="12"/>
  <c r="D514" i="12"/>
  <c r="E511" i="12"/>
  <c r="D442" i="12"/>
  <c r="E439" i="12"/>
  <c r="D434" i="12"/>
  <c r="E431" i="12"/>
  <c r="D426" i="12"/>
  <c r="E423" i="12"/>
  <c r="D418" i="12"/>
  <c r="E415" i="12"/>
  <c r="D410" i="12"/>
  <c r="E407" i="12"/>
  <c r="D450" i="12"/>
  <c r="E447" i="12"/>
  <c r="D458" i="12"/>
  <c r="E455" i="12"/>
  <c r="D466" i="12"/>
  <c r="E463" i="12"/>
  <c r="D474" i="12"/>
  <c r="E471" i="12"/>
  <c r="D482" i="12"/>
  <c r="E479" i="12"/>
  <c r="D490" i="12"/>
  <c r="E487" i="12"/>
  <c r="D498" i="12"/>
  <c r="E495" i="12"/>
  <c r="D506" i="12"/>
  <c r="E503" i="12"/>
  <c r="D522" i="12"/>
  <c r="E519" i="12"/>
  <c r="D530" i="12"/>
  <c r="E527" i="12"/>
  <c r="D538" i="12"/>
  <c r="E535" i="12"/>
  <c r="D546" i="12"/>
  <c r="E543" i="12"/>
  <c r="D554" i="12"/>
  <c r="E551" i="12"/>
  <c r="D562" i="12"/>
  <c r="E559" i="12"/>
  <c r="D570" i="12"/>
  <c r="E567" i="12"/>
  <c r="D578" i="12"/>
  <c r="E575" i="12"/>
  <c r="D746" i="12"/>
  <c r="E743" i="12"/>
  <c r="D754" i="12"/>
  <c r="E751" i="12"/>
  <c r="G190" i="14"/>
  <c r="G222" i="14" s="1"/>
  <c r="G188" i="14"/>
  <c r="G260" i="14"/>
  <c r="G259" i="14"/>
  <c r="G262" i="14"/>
  <c r="H310" i="14" s="1"/>
  <c r="G321" i="14"/>
  <c r="G326" i="14"/>
  <c r="I371" i="14" s="1"/>
  <c r="F408" i="21"/>
  <c r="F57" i="17"/>
  <c r="F61" i="17"/>
  <c r="F64" i="17"/>
  <c r="F68" i="17"/>
  <c r="F71" i="17"/>
  <c r="F74" i="17"/>
  <c r="F77" i="17" s="1"/>
  <c r="G32" i="20"/>
  <c r="G26" i="20"/>
  <c r="F399" i="12"/>
  <c r="E402" i="12"/>
  <c r="E514" i="12"/>
  <c r="F511" i="12"/>
  <c r="E442" i="12"/>
  <c r="F439" i="12"/>
  <c r="E434" i="12"/>
  <c r="F431" i="12"/>
  <c r="E426" i="12"/>
  <c r="F423" i="12"/>
  <c r="E418" i="12"/>
  <c r="F415" i="12"/>
  <c r="E410" i="12"/>
  <c r="F407" i="12"/>
  <c r="E450" i="12"/>
  <c r="F447" i="12"/>
  <c r="E458" i="12"/>
  <c r="F455" i="12"/>
  <c r="E466" i="12"/>
  <c r="F463" i="12"/>
  <c r="E474" i="12"/>
  <c r="F471" i="12"/>
  <c r="E482" i="12"/>
  <c r="F479" i="12"/>
  <c r="E490" i="12"/>
  <c r="F487" i="12"/>
  <c r="E498" i="12"/>
  <c r="F495" i="12"/>
  <c r="E506" i="12"/>
  <c r="F503" i="12"/>
  <c r="E522" i="12"/>
  <c r="F519" i="12"/>
  <c r="E530" i="12"/>
  <c r="F527" i="12"/>
  <c r="E538" i="12"/>
  <c r="F535" i="12"/>
  <c r="E546" i="12"/>
  <c r="F543" i="12"/>
  <c r="E554" i="12"/>
  <c r="F551" i="12"/>
  <c r="E562" i="12"/>
  <c r="F559" i="12"/>
  <c r="E570" i="12"/>
  <c r="F567" i="12"/>
  <c r="E578" i="12"/>
  <c r="F575" i="12"/>
  <c r="E746" i="12"/>
  <c r="F743" i="12"/>
  <c r="E754" i="12"/>
  <c r="F751" i="12"/>
  <c r="H190" i="14"/>
  <c r="J223" i="14" s="1"/>
  <c r="H188" i="14"/>
  <c r="H260" i="14"/>
  <c r="H295" i="14" s="1"/>
  <c r="H259" i="14"/>
  <c r="H262" i="14"/>
  <c r="J311" i="14" s="1"/>
  <c r="H321" i="14"/>
  <c r="H326" i="14"/>
  <c r="I372" i="14" s="1"/>
  <c r="G408" i="21"/>
  <c r="G426" i="21" s="1"/>
  <c r="G57" i="17"/>
  <c r="G61" i="17"/>
  <c r="G64" i="17"/>
  <c r="G68" i="17"/>
  <c r="G71" i="17"/>
  <c r="G74" i="17"/>
  <c r="G77" i="17" s="1"/>
  <c r="H32" i="20"/>
  <c r="H26" i="20"/>
  <c r="G399" i="12"/>
  <c r="F402" i="12"/>
  <c r="F514" i="12"/>
  <c r="G511" i="12"/>
  <c r="F442" i="12"/>
  <c r="G439" i="12"/>
  <c r="F434" i="12"/>
  <c r="G431" i="12"/>
  <c r="F426" i="12"/>
  <c r="G423" i="12"/>
  <c r="F418" i="12"/>
  <c r="G415" i="12"/>
  <c r="F410" i="12"/>
  <c r="G407" i="12"/>
  <c r="F450" i="12"/>
  <c r="G447" i="12"/>
  <c r="F458" i="12"/>
  <c r="G455" i="12"/>
  <c r="F466" i="12"/>
  <c r="G463" i="12"/>
  <c r="F474" i="12"/>
  <c r="G471" i="12"/>
  <c r="F482" i="12"/>
  <c r="G479" i="12"/>
  <c r="F490" i="12"/>
  <c r="G487" i="12"/>
  <c r="F498" i="12"/>
  <c r="G495" i="12"/>
  <c r="F506" i="12"/>
  <c r="G503" i="12"/>
  <c r="F522" i="12"/>
  <c r="G519" i="12"/>
  <c r="F530" i="12"/>
  <c r="G527" i="12"/>
  <c r="F538" i="12"/>
  <c r="G535" i="12"/>
  <c r="F546" i="12"/>
  <c r="G543" i="12"/>
  <c r="F554" i="12"/>
  <c r="G551" i="12"/>
  <c r="F562" i="12"/>
  <c r="G559" i="12"/>
  <c r="F570" i="12"/>
  <c r="G567" i="12"/>
  <c r="F578" i="12"/>
  <c r="G575" i="12"/>
  <c r="F746" i="12"/>
  <c r="G743" i="12"/>
  <c r="F754" i="12"/>
  <c r="G751" i="12"/>
  <c r="I190" i="14"/>
  <c r="I224" i="14" s="1"/>
  <c r="I188" i="14"/>
  <c r="I260" i="14"/>
  <c r="I259" i="14"/>
  <c r="I262" i="14"/>
  <c r="I312" i="14" s="1"/>
  <c r="I321" i="14"/>
  <c r="I326" i="14"/>
  <c r="H408" i="21"/>
  <c r="H426" i="21" s="1"/>
  <c r="H57" i="17"/>
  <c r="H61" i="17"/>
  <c r="H64" i="17"/>
  <c r="H68" i="17"/>
  <c r="H71" i="17"/>
  <c r="H74" i="17"/>
  <c r="H77" i="17" s="1"/>
  <c r="I32" i="20"/>
  <c r="I26" i="20"/>
  <c r="H399" i="12"/>
  <c r="G402" i="12"/>
  <c r="G514" i="12"/>
  <c r="H511" i="12"/>
  <c r="G442" i="12"/>
  <c r="H439" i="12"/>
  <c r="G434" i="12"/>
  <c r="H431" i="12"/>
  <c r="G426" i="12"/>
  <c r="H423" i="12"/>
  <c r="G418" i="12"/>
  <c r="H415" i="12"/>
  <c r="G410" i="12"/>
  <c r="H407" i="12"/>
  <c r="G450" i="12"/>
  <c r="H447" i="12"/>
  <c r="G458" i="12"/>
  <c r="H455" i="12"/>
  <c r="G466" i="12"/>
  <c r="H463" i="12"/>
  <c r="G474" i="12"/>
  <c r="H471" i="12"/>
  <c r="G482" i="12"/>
  <c r="H479" i="12"/>
  <c r="G490" i="12"/>
  <c r="H487" i="12"/>
  <c r="G498" i="12"/>
  <c r="H495" i="12"/>
  <c r="G506" i="12"/>
  <c r="H503" i="12"/>
  <c r="G522" i="12"/>
  <c r="H519" i="12"/>
  <c r="G530" i="12"/>
  <c r="H527" i="12"/>
  <c r="G538" i="12"/>
  <c r="H535" i="12"/>
  <c r="G546" i="12"/>
  <c r="H543" i="12"/>
  <c r="G554" i="12"/>
  <c r="H551" i="12"/>
  <c r="G562" i="12"/>
  <c r="H559" i="12"/>
  <c r="G570" i="12"/>
  <c r="H567" i="12"/>
  <c r="G578" i="12"/>
  <c r="H575" i="12"/>
  <c r="G746" i="12"/>
  <c r="H743" i="12"/>
  <c r="G754" i="12"/>
  <c r="H751" i="12"/>
  <c r="J190" i="14"/>
  <c r="J225" i="14" s="1"/>
  <c r="J188" i="14"/>
  <c r="J209" i="14" s="1"/>
  <c r="J262" i="14"/>
  <c r="J313" i="14" s="1"/>
  <c r="I408" i="21"/>
  <c r="I426" i="21" s="1"/>
  <c r="I57" i="17"/>
  <c r="I61" i="17"/>
  <c r="I64" i="17"/>
  <c r="I68" i="17"/>
  <c r="I71" i="17"/>
  <c r="I74" i="17"/>
  <c r="I77" i="17" s="1"/>
  <c r="J32" i="20"/>
  <c r="J26" i="20"/>
  <c r="D88" i="27"/>
  <c r="D94" i="27"/>
  <c r="P19" i="13"/>
  <c r="P23" i="13"/>
  <c r="P27" i="13"/>
  <c r="P28" i="13"/>
  <c r="E121" i="18"/>
  <c r="E126" i="18"/>
  <c r="M145" i="18"/>
  <c r="N145" i="18"/>
  <c r="N125" i="18"/>
  <c r="N121" i="18" s="1"/>
  <c r="N130" i="18"/>
  <c r="N126" i="18" s="1"/>
  <c r="N135" i="18"/>
  <c r="N140" i="18"/>
  <c r="P144" i="15"/>
  <c r="P127" i="15"/>
  <c r="H34" i="15"/>
  <c r="H33" i="15"/>
  <c r="K33" i="15" s="1"/>
  <c r="H32" i="15"/>
  <c r="K32" i="15" s="1"/>
  <c r="N32" i="15" s="1"/>
  <c r="H31" i="15"/>
  <c r="I31" i="15" s="1"/>
  <c r="H30" i="15"/>
  <c r="K30" i="15" s="1"/>
  <c r="H29" i="15"/>
  <c r="P109" i="15"/>
  <c r="H15" i="15"/>
  <c r="I15" i="15" s="1"/>
  <c r="H16" i="15"/>
  <c r="I16" i="15" s="1"/>
  <c r="H17" i="15"/>
  <c r="I17" i="15" s="1"/>
  <c r="H18" i="15"/>
  <c r="H19" i="15"/>
  <c r="I19" i="15" s="1"/>
  <c r="P94" i="15"/>
  <c r="F15" i="15"/>
  <c r="F16" i="15"/>
  <c r="F17" i="15"/>
  <c r="F18" i="15"/>
  <c r="F19" i="15"/>
  <c r="D38" i="15"/>
  <c r="F29" i="15"/>
  <c r="F30" i="15"/>
  <c r="F31" i="15"/>
  <c r="F32" i="15"/>
  <c r="F33" i="15"/>
  <c r="F34" i="15"/>
  <c r="H53" i="15"/>
  <c r="H52" i="15"/>
  <c r="H51" i="15"/>
  <c r="K51" i="15" s="1"/>
  <c r="H50" i="15"/>
  <c r="H49" i="15"/>
  <c r="I49" i="15" s="1"/>
  <c r="F49" i="15"/>
  <c r="F50" i="15"/>
  <c r="F51" i="15"/>
  <c r="F52" i="15"/>
  <c r="F53" i="15"/>
  <c r="H67" i="15"/>
  <c r="I67" i="15" s="1"/>
  <c r="H68" i="15"/>
  <c r="H69" i="15"/>
  <c r="H70" i="15"/>
  <c r="K70" i="15" s="1"/>
  <c r="N70" i="15" s="1"/>
  <c r="Q70" i="15" s="1"/>
  <c r="H71" i="15"/>
  <c r="H72" i="15"/>
  <c r="F67" i="15"/>
  <c r="F68" i="15"/>
  <c r="F69" i="15"/>
  <c r="F70" i="15"/>
  <c r="F71" i="15"/>
  <c r="F72" i="15"/>
  <c r="H754" i="12"/>
  <c r="H746" i="12"/>
  <c r="H578" i="12"/>
  <c r="H570" i="12"/>
  <c r="H562" i="12"/>
  <c r="H554" i="12"/>
  <c r="H546" i="12"/>
  <c r="H538" i="12"/>
  <c r="H530" i="12"/>
  <c r="H522" i="12"/>
  <c r="H514" i="12"/>
  <c r="H506" i="12"/>
  <c r="H498" i="12"/>
  <c r="H490" i="12"/>
  <c r="H482" i="12"/>
  <c r="H474" i="12"/>
  <c r="H466" i="12"/>
  <c r="H458" i="12"/>
  <c r="H450" i="12"/>
  <c r="H442" i="12"/>
  <c r="H434" i="12"/>
  <c r="H426" i="12"/>
  <c r="H418" i="12"/>
  <c r="H410" i="12"/>
  <c r="H402" i="12"/>
  <c r="J326" i="14"/>
  <c r="J374" i="14" s="1"/>
  <c r="C300" i="14"/>
  <c r="H300" i="14" s="1"/>
  <c r="C301" i="14"/>
  <c r="C302" i="14"/>
  <c r="C303" i="14"/>
  <c r="K143" i="14"/>
  <c r="K144" i="14"/>
  <c r="K145" i="14"/>
  <c r="K147" i="14"/>
  <c r="K148" i="14"/>
  <c r="C293" i="14"/>
  <c r="C292" i="14"/>
  <c r="C285" i="14"/>
  <c r="C284" i="14"/>
  <c r="K149" i="14"/>
  <c r="K150" i="14"/>
  <c r="K151" i="14"/>
  <c r="K152" i="14"/>
  <c r="K153" i="14"/>
  <c r="K154" i="14"/>
  <c r="K155" i="14"/>
  <c r="C275" i="14"/>
  <c r="C268" i="14"/>
  <c r="C294" i="14"/>
  <c r="C286" i="14"/>
  <c r="C277" i="14"/>
  <c r="C269" i="14"/>
  <c r="C295" i="14"/>
  <c r="C287" i="14"/>
  <c r="C278" i="14"/>
  <c r="C270" i="14"/>
  <c r="C304" i="14"/>
  <c r="C296" i="14"/>
  <c r="C288" i="14"/>
  <c r="I288" i="14" s="1"/>
  <c r="C279" i="14"/>
  <c r="C271" i="14"/>
  <c r="J273" i="14"/>
  <c r="K146" i="14"/>
  <c r="C267" i="14"/>
  <c r="C245" i="14"/>
  <c r="C246" i="14"/>
  <c r="C247" i="14"/>
  <c r="C248" i="14"/>
  <c r="K26" i="14"/>
  <c r="K27" i="14"/>
  <c r="K28" i="14"/>
  <c r="K29" i="14"/>
  <c r="K30" i="14"/>
  <c r="K31" i="14"/>
  <c r="K32" i="14"/>
  <c r="K33" i="14"/>
  <c r="K34" i="14"/>
  <c r="C244" i="14"/>
  <c r="C229" i="14"/>
  <c r="C230" i="14"/>
  <c r="C231" i="14"/>
  <c r="C232" i="14"/>
  <c r="C222" i="14"/>
  <c r="C224" i="14"/>
  <c r="C361" i="14"/>
  <c r="C363" i="14"/>
  <c r="C364" i="14"/>
  <c r="J327" i="14"/>
  <c r="J366" i="14" s="1"/>
  <c r="C365" i="14"/>
  <c r="C357" i="14"/>
  <c r="C356" i="14"/>
  <c r="C355" i="14"/>
  <c r="C348" i="14"/>
  <c r="C349" i="14"/>
  <c r="C341" i="14"/>
  <c r="J335" i="14"/>
  <c r="C362" i="14"/>
  <c r="K163" i="14"/>
  <c r="E325" i="14" s="1"/>
  <c r="C354" i="14"/>
  <c r="C347" i="14"/>
  <c r="C340" i="14"/>
  <c r="C333" i="14"/>
  <c r="K162" i="14"/>
  <c r="E324" i="14" s="1"/>
  <c r="C353" i="14"/>
  <c r="C346" i="14"/>
  <c r="C339" i="14"/>
  <c r="C332" i="14"/>
  <c r="K161" i="14"/>
  <c r="E323" i="14" s="1"/>
  <c r="C345" i="14"/>
  <c r="C338" i="14"/>
  <c r="C331" i="14"/>
  <c r="K164" i="14"/>
  <c r="K165" i="14"/>
  <c r="K166" i="14"/>
  <c r="K167" i="14"/>
  <c r="C337" i="14"/>
  <c r="C330" i="14"/>
  <c r="C329" i="14"/>
  <c r="J321" i="14"/>
  <c r="J334" i="14" s="1"/>
  <c r="J260" i="14"/>
  <c r="J297" i="14" s="1"/>
  <c r="J259" i="14"/>
  <c r="J289" i="14" s="1"/>
  <c r="J263" i="14"/>
  <c r="C237" i="14"/>
  <c r="C238" i="14"/>
  <c r="C239" i="14"/>
  <c r="C240" i="14"/>
  <c r="K37" i="14"/>
  <c r="K38" i="14"/>
  <c r="K39" i="14"/>
  <c r="K40" i="14"/>
  <c r="K41" i="14"/>
  <c r="K42" i="14"/>
  <c r="K43" i="14"/>
  <c r="K44" i="14"/>
  <c r="K45" i="14"/>
  <c r="K46" i="14"/>
  <c r="K47" i="14"/>
  <c r="K48" i="14"/>
  <c r="K49" i="14"/>
  <c r="K50" i="14"/>
  <c r="K51" i="14"/>
  <c r="K52" i="14"/>
  <c r="K53" i="14"/>
  <c r="K54" i="14"/>
  <c r="K55" i="14"/>
  <c r="K56" i="14"/>
  <c r="K57" i="14"/>
  <c r="C236" i="14"/>
  <c r="K61" i="14"/>
  <c r="K62" i="14"/>
  <c r="K63" i="14"/>
  <c r="K64" i="14"/>
  <c r="K65" i="14"/>
  <c r="K66" i="14"/>
  <c r="K67" i="14"/>
  <c r="K68" i="14"/>
  <c r="K69" i="14"/>
  <c r="K70" i="14"/>
  <c r="K71" i="14"/>
  <c r="K72" i="14"/>
  <c r="K73" i="14"/>
  <c r="K74" i="14"/>
  <c r="K75" i="14"/>
  <c r="K76" i="14"/>
  <c r="K77" i="14"/>
  <c r="K78" i="14"/>
  <c r="K79" i="14"/>
  <c r="K80" i="14"/>
  <c r="K102" i="14"/>
  <c r="C215" i="14"/>
  <c r="C216" i="14"/>
  <c r="C208" i="14"/>
  <c r="C228" i="14"/>
  <c r="C221" i="14"/>
  <c r="C223" i="14"/>
  <c r="C214" i="14"/>
  <c r="C207" i="14"/>
  <c r="C220" i="14"/>
  <c r="C213" i="14"/>
  <c r="C206" i="14"/>
  <c r="K87" i="14"/>
  <c r="K88" i="14"/>
  <c r="K89" i="14"/>
  <c r="K90" i="14"/>
  <c r="K91" i="14"/>
  <c r="K92" i="14"/>
  <c r="K93" i="14"/>
  <c r="K94" i="14"/>
  <c r="K95" i="14"/>
  <c r="K96" i="14"/>
  <c r="K97" i="14"/>
  <c r="K98" i="14"/>
  <c r="K99" i="14"/>
  <c r="K103" i="14"/>
  <c r="K114" i="14"/>
  <c r="K115" i="14"/>
  <c r="K116" i="14"/>
  <c r="K117" i="14"/>
  <c r="K118" i="14"/>
  <c r="K119" i="14"/>
  <c r="K120" i="14"/>
  <c r="K121" i="14"/>
  <c r="K122" i="14"/>
  <c r="C212" i="14"/>
  <c r="K104" i="14"/>
  <c r="K105" i="14"/>
  <c r="K106" i="14"/>
  <c r="K107" i="14"/>
  <c r="K108" i="14"/>
  <c r="K109" i="14"/>
  <c r="K110" i="14"/>
  <c r="K111" i="14"/>
  <c r="K14" i="14"/>
  <c r="K15" i="14"/>
  <c r="K16" i="14"/>
  <c r="K17" i="14"/>
  <c r="K18" i="14"/>
  <c r="K19" i="14"/>
  <c r="K20" i="14"/>
  <c r="K21" i="14"/>
  <c r="K22" i="14"/>
  <c r="D76" i="15"/>
  <c r="C122" i="15"/>
  <c r="C123" i="15"/>
  <c r="C124" i="15"/>
  <c r="C125" i="15"/>
  <c r="C126" i="15"/>
  <c r="C90" i="15"/>
  <c r="D20" i="15"/>
  <c r="C91" i="15"/>
  <c r="M144" i="15"/>
  <c r="J144" i="15"/>
  <c r="G144" i="15"/>
  <c r="D144" i="15"/>
  <c r="D127" i="15"/>
  <c r="M109" i="15"/>
  <c r="J109" i="15"/>
  <c r="G109" i="15"/>
  <c r="D109" i="15"/>
  <c r="M94" i="15"/>
  <c r="G94" i="15"/>
  <c r="D94" i="15"/>
  <c r="AK73" i="15"/>
  <c r="AH73" i="15"/>
  <c r="AE73" i="15"/>
  <c r="AB73" i="15"/>
  <c r="Y73" i="15"/>
  <c r="V73" i="15"/>
  <c r="S73" i="15"/>
  <c r="P73" i="15"/>
  <c r="M73" i="15"/>
  <c r="J73" i="15"/>
  <c r="G73" i="15"/>
  <c r="D73" i="15"/>
  <c r="M54" i="15"/>
  <c r="G54" i="15"/>
  <c r="D54" i="15"/>
  <c r="AE20" i="15"/>
  <c r="AE35" i="15"/>
  <c r="AK35" i="15"/>
  <c r="AH35" i="15"/>
  <c r="AB35" i="15"/>
  <c r="Y35" i="15"/>
  <c r="V35" i="15"/>
  <c r="S35" i="15"/>
  <c r="P35" i="15"/>
  <c r="M35" i="15"/>
  <c r="J35" i="15"/>
  <c r="G35" i="15"/>
  <c r="D35" i="15"/>
  <c r="D21" i="12"/>
  <c r="E31" i="21"/>
  <c r="F31" i="21" s="1"/>
  <c r="G31" i="21" s="1"/>
  <c r="H31" i="21" s="1"/>
  <c r="I31" i="21" s="1"/>
  <c r="J31" i="21" s="1"/>
  <c r="K31" i="21" s="1"/>
  <c r="L31" i="21" s="1"/>
  <c r="M31" i="21" s="1"/>
  <c r="N31" i="21" s="1"/>
  <c r="O31" i="21" s="1"/>
  <c r="P31" i="21" s="1"/>
  <c r="D421" i="21" s="1"/>
  <c r="D29" i="12"/>
  <c r="E39" i="21"/>
  <c r="F39" i="21" s="1"/>
  <c r="G39" i="21" s="1"/>
  <c r="H39" i="21" s="1"/>
  <c r="I39" i="21" s="1"/>
  <c r="J39" i="21" s="1"/>
  <c r="K39" i="21" s="1"/>
  <c r="L39" i="21" s="1"/>
  <c r="M39" i="21" s="1"/>
  <c r="N39" i="21" s="1"/>
  <c r="O39" i="21" s="1"/>
  <c r="P39" i="21" s="1"/>
  <c r="D435" i="21" s="1"/>
  <c r="D37" i="12"/>
  <c r="E46" i="21" s="1"/>
  <c r="E47" i="21"/>
  <c r="F47" i="21" s="1"/>
  <c r="G47" i="21" s="1"/>
  <c r="H47" i="21" s="1"/>
  <c r="I47" i="21" s="1"/>
  <c r="J47" i="21" s="1"/>
  <c r="K47" i="21" s="1"/>
  <c r="L47" i="21" s="1"/>
  <c r="M47" i="21" s="1"/>
  <c r="N47" i="21" s="1"/>
  <c r="O47" i="21" s="1"/>
  <c r="P47" i="21" s="1"/>
  <c r="D449" i="21" s="1"/>
  <c r="D53" i="12"/>
  <c r="E55" i="21"/>
  <c r="F55" i="21" s="1"/>
  <c r="G55" i="21" s="1"/>
  <c r="D61" i="12"/>
  <c r="E70" i="21" s="1"/>
  <c r="E63" i="21"/>
  <c r="F63" i="21" s="1"/>
  <c r="G63" i="21" s="1"/>
  <c r="H63" i="21" s="1"/>
  <c r="I63" i="21" s="1"/>
  <c r="J63" i="21" s="1"/>
  <c r="K63" i="21" s="1"/>
  <c r="L63" i="21" s="1"/>
  <c r="M63" i="21" s="1"/>
  <c r="N63" i="21" s="1"/>
  <c r="O63" i="21" s="1"/>
  <c r="P63" i="21" s="1"/>
  <c r="D477" i="21" s="1"/>
  <c r="D69" i="12"/>
  <c r="E71" i="21"/>
  <c r="F71" i="21" s="1"/>
  <c r="G71" i="21" s="1"/>
  <c r="H71" i="21" s="1"/>
  <c r="I71" i="21" s="1"/>
  <c r="J71" i="21" s="1"/>
  <c r="K71" i="21" s="1"/>
  <c r="L71" i="21" s="1"/>
  <c r="M71" i="21" s="1"/>
  <c r="N71" i="21" s="1"/>
  <c r="O71" i="21" s="1"/>
  <c r="P71" i="21" s="1"/>
  <c r="D77" i="12"/>
  <c r="E79" i="21"/>
  <c r="F79" i="21" s="1"/>
  <c r="G79" i="21" s="1"/>
  <c r="H79" i="21" s="1"/>
  <c r="I79" i="21" s="1"/>
  <c r="J79" i="21" s="1"/>
  <c r="K79" i="21" s="1"/>
  <c r="L79" i="21" s="1"/>
  <c r="M79" i="21" s="1"/>
  <c r="N79" i="21" s="1"/>
  <c r="O79" i="21" s="1"/>
  <c r="P79" i="21" s="1"/>
  <c r="D505" i="21" s="1"/>
  <c r="D85" i="12"/>
  <c r="E87" i="21"/>
  <c r="F87" i="21" s="1"/>
  <c r="G87" i="21" s="1"/>
  <c r="H87" i="21" s="1"/>
  <c r="I87" i="21" s="1"/>
  <c r="J87" i="21" s="1"/>
  <c r="K87" i="21" s="1"/>
  <c r="L87" i="21" s="1"/>
  <c r="M87" i="21" s="1"/>
  <c r="N87" i="21" s="1"/>
  <c r="O87" i="21" s="1"/>
  <c r="P87" i="21" s="1"/>
  <c r="D519" i="21" s="1"/>
  <c r="D93" i="12"/>
  <c r="E102" i="21" s="1"/>
  <c r="E95" i="21"/>
  <c r="D101" i="12"/>
  <c r="E110" i="21" s="1"/>
  <c r="E103" i="21"/>
  <c r="F103" i="21" s="1"/>
  <c r="G103" i="21" s="1"/>
  <c r="H103" i="21" s="1"/>
  <c r="I103" i="21" s="1"/>
  <c r="J103" i="21" s="1"/>
  <c r="K103" i="21" s="1"/>
  <c r="L103" i="21" s="1"/>
  <c r="M103" i="21" s="1"/>
  <c r="N103" i="21" s="1"/>
  <c r="O103" i="21" s="1"/>
  <c r="P103" i="21" s="1"/>
  <c r="D547" i="21" s="1"/>
  <c r="D109" i="12"/>
  <c r="E118" i="21" s="1"/>
  <c r="E111" i="21"/>
  <c r="F111" i="21" s="1"/>
  <c r="D117" i="12"/>
  <c r="E126" i="21" s="1"/>
  <c r="E119" i="21"/>
  <c r="D125" i="12"/>
  <c r="E127" i="21"/>
  <c r="F127" i="21" s="1"/>
  <c r="G127" i="21" s="1"/>
  <c r="H127" i="21" s="1"/>
  <c r="I127" i="21" s="1"/>
  <c r="J127" i="21" s="1"/>
  <c r="K127" i="21" s="1"/>
  <c r="L127" i="21" s="1"/>
  <c r="M127" i="21" s="1"/>
  <c r="N127" i="21" s="1"/>
  <c r="O127" i="21" s="1"/>
  <c r="P127" i="21" s="1"/>
  <c r="D133" i="12"/>
  <c r="E135" i="21"/>
  <c r="D141" i="12"/>
  <c r="E143" i="21"/>
  <c r="F143" i="21" s="1"/>
  <c r="G143" i="21" s="1"/>
  <c r="H143" i="21" s="1"/>
  <c r="I143" i="21" s="1"/>
  <c r="J143" i="21" s="1"/>
  <c r="K143" i="21" s="1"/>
  <c r="L143" i="21" s="1"/>
  <c r="M143" i="21" s="1"/>
  <c r="N143" i="21" s="1"/>
  <c r="O143" i="21" s="1"/>
  <c r="P143" i="21" s="1"/>
  <c r="D617" i="21" s="1"/>
  <c r="D149" i="12"/>
  <c r="E158" i="21" s="1"/>
  <c r="E151" i="21"/>
  <c r="D157" i="12"/>
  <c r="E166" i="21" s="1"/>
  <c r="E159" i="21"/>
  <c r="F159" i="21" s="1"/>
  <c r="G159" i="21" s="1"/>
  <c r="D165" i="12"/>
  <c r="E167" i="21"/>
  <c r="D173" i="12"/>
  <c r="E182" i="21" s="1"/>
  <c r="E175" i="21"/>
  <c r="F175" i="21" s="1"/>
  <c r="G175" i="21" s="1"/>
  <c r="H175" i="21" s="1"/>
  <c r="I175" i="21" s="1"/>
  <c r="J175" i="21" s="1"/>
  <c r="K175" i="21" s="1"/>
  <c r="L175" i="21" s="1"/>
  <c r="M175" i="21" s="1"/>
  <c r="N175" i="21" s="1"/>
  <c r="O175" i="21" s="1"/>
  <c r="P175" i="21" s="1"/>
  <c r="D673" i="21" s="1"/>
  <c r="D181" i="12"/>
  <c r="E183" i="21"/>
  <c r="F183" i="21" s="1"/>
  <c r="G183" i="21" s="1"/>
  <c r="D189" i="12"/>
  <c r="E198" i="21" s="1"/>
  <c r="E191" i="21"/>
  <c r="D197" i="12"/>
  <c r="E206" i="21" s="1"/>
  <c r="E375" i="21"/>
  <c r="F375" i="21" s="1"/>
  <c r="G375" i="21" s="1"/>
  <c r="H375" i="21" s="1"/>
  <c r="I375" i="21" s="1"/>
  <c r="J375" i="21" s="1"/>
  <c r="K375" i="21" s="1"/>
  <c r="L375" i="21" s="1"/>
  <c r="M375" i="21" s="1"/>
  <c r="N375" i="21" s="1"/>
  <c r="O375" i="21" s="1"/>
  <c r="P375" i="21" s="1"/>
  <c r="D373" i="12"/>
  <c r="E383" i="21"/>
  <c r="F383" i="21" s="1"/>
  <c r="G383" i="21" s="1"/>
  <c r="H383" i="21" s="1"/>
  <c r="I383" i="21" s="1"/>
  <c r="J383" i="21" s="1"/>
  <c r="K383" i="21" s="1"/>
  <c r="L383" i="21" s="1"/>
  <c r="M383" i="21" s="1"/>
  <c r="N383" i="21" s="1"/>
  <c r="O383" i="21" s="1"/>
  <c r="P383" i="21" s="1"/>
  <c r="D1037" i="21" s="1"/>
  <c r="E1037" i="21" s="1"/>
  <c r="E33" i="21"/>
  <c r="F33" i="21" s="1"/>
  <c r="G33" i="21" s="1"/>
  <c r="H33" i="21" s="1"/>
  <c r="I33" i="21" s="1"/>
  <c r="J33" i="21" s="1"/>
  <c r="K33" i="21" s="1"/>
  <c r="L33" i="21" s="1"/>
  <c r="M33" i="21" s="1"/>
  <c r="N33" i="21" s="1"/>
  <c r="O33" i="21" s="1"/>
  <c r="P33" i="21" s="1"/>
  <c r="D425" i="21" s="1"/>
  <c r="E41" i="21"/>
  <c r="F41" i="21" s="1"/>
  <c r="G41" i="21" s="1"/>
  <c r="H41" i="21" s="1"/>
  <c r="I41" i="21" s="1"/>
  <c r="J41" i="21" s="1"/>
  <c r="K41" i="21" s="1"/>
  <c r="L41" i="21" s="1"/>
  <c r="M41" i="21" s="1"/>
  <c r="N41" i="21" s="1"/>
  <c r="O41" i="21" s="1"/>
  <c r="P41" i="21" s="1"/>
  <c r="D439" i="21" s="1"/>
  <c r="E49" i="21"/>
  <c r="E57" i="21"/>
  <c r="F57" i="21" s="1"/>
  <c r="G57" i="21" s="1"/>
  <c r="H57" i="21" s="1"/>
  <c r="I57" i="21" s="1"/>
  <c r="I58" i="21" s="1"/>
  <c r="E65" i="21"/>
  <c r="F65" i="21" s="1"/>
  <c r="G65" i="21" s="1"/>
  <c r="E73" i="21"/>
  <c r="F73" i="21" s="1"/>
  <c r="G73" i="21" s="1"/>
  <c r="H73" i="21" s="1"/>
  <c r="I73" i="21" s="1"/>
  <c r="J73" i="21" s="1"/>
  <c r="K73" i="21" s="1"/>
  <c r="L73" i="21" s="1"/>
  <c r="M73" i="21" s="1"/>
  <c r="N73" i="21" s="1"/>
  <c r="O73" i="21" s="1"/>
  <c r="P73" i="21" s="1"/>
  <c r="D495" i="21" s="1"/>
  <c r="E81" i="21"/>
  <c r="F81" i="21" s="1"/>
  <c r="G81" i="21" s="1"/>
  <c r="H81" i="21" s="1"/>
  <c r="I81" i="21" s="1"/>
  <c r="J81" i="21" s="1"/>
  <c r="K81" i="21" s="1"/>
  <c r="L81" i="21" s="1"/>
  <c r="M81" i="21" s="1"/>
  <c r="N81" i="21" s="1"/>
  <c r="O81" i="21" s="1"/>
  <c r="P81" i="21" s="1"/>
  <c r="E89" i="21"/>
  <c r="F89" i="21" s="1"/>
  <c r="G89" i="21" s="1"/>
  <c r="H89" i="21" s="1"/>
  <c r="I89" i="21" s="1"/>
  <c r="J89" i="21" s="1"/>
  <c r="K89" i="21" s="1"/>
  <c r="L89" i="21" s="1"/>
  <c r="M89" i="21" s="1"/>
  <c r="N89" i="21" s="1"/>
  <c r="O89" i="21" s="1"/>
  <c r="P89" i="21" s="1"/>
  <c r="D523" i="21" s="1"/>
  <c r="E97" i="21"/>
  <c r="F97" i="21" s="1"/>
  <c r="G97" i="21" s="1"/>
  <c r="H97" i="21" s="1"/>
  <c r="I97" i="21" s="1"/>
  <c r="J97" i="21" s="1"/>
  <c r="K97" i="21" s="1"/>
  <c r="L97" i="21" s="1"/>
  <c r="M97" i="21" s="1"/>
  <c r="N97" i="21" s="1"/>
  <c r="O97" i="21" s="1"/>
  <c r="P97" i="21" s="1"/>
  <c r="E105" i="21"/>
  <c r="F105" i="21" s="1"/>
  <c r="G105" i="21" s="1"/>
  <c r="H105" i="21" s="1"/>
  <c r="I105" i="21" s="1"/>
  <c r="J105" i="21" s="1"/>
  <c r="K105" i="21" s="1"/>
  <c r="L105" i="21" s="1"/>
  <c r="M105" i="21" s="1"/>
  <c r="N105" i="21" s="1"/>
  <c r="O105" i="21" s="1"/>
  <c r="P105" i="21" s="1"/>
  <c r="D551" i="21" s="1"/>
  <c r="E113" i="21"/>
  <c r="F113" i="21" s="1"/>
  <c r="E121" i="21"/>
  <c r="F121" i="21" s="1"/>
  <c r="G121" i="21" s="1"/>
  <c r="H121" i="21" s="1"/>
  <c r="I121" i="21" s="1"/>
  <c r="J121" i="21" s="1"/>
  <c r="K121" i="21" s="1"/>
  <c r="L121" i="21" s="1"/>
  <c r="M121" i="21" s="1"/>
  <c r="N121" i="21" s="1"/>
  <c r="O121" i="21" s="1"/>
  <c r="P121" i="21" s="1"/>
  <c r="D579" i="21" s="1"/>
  <c r="E129" i="21"/>
  <c r="F129" i="21" s="1"/>
  <c r="G129" i="21" s="1"/>
  <c r="H129" i="21" s="1"/>
  <c r="E137" i="21"/>
  <c r="F137" i="21" s="1"/>
  <c r="G137" i="21" s="1"/>
  <c r="H137" i="21" s="1"/>
  <c r="I137" i="21" s="1"/>
  <c r="J137" i="21" s="1"/>
  <c r="K137" i="21" s="1"/>
  <c r="L137" i="21" s="1"/>
  <c r="M137" i="21" s="1"/>
  <c r="N137" i="21" s="1"/>
  <c r="O137" i="21" s="1"/>
  <c r="P137" i="21" s="1"/>
  <c r="E145" i="21"/>
  <c r="F145" i="21" s="1"/>
  <c r="G145" i="21" s="1"/>
  <c r="E153" i="21"/>
  <c r="F153" i="21" s="1"/>
  <c r="G153" i="21" s="1"/>
  <c r="H153" i="21" s="1"/>
  <c r="I153" i="21" s="1"/>
  <c r="J153" i="21" s="1"/>
  <c r="K153" i="21" s="1"/>
  <c r="L153" i="21" s="1"/>
  <c r="M153" i="21" s="1"/>
  <c r="N153" i="21" s="1"/>
  <c r="O153" i="21" s="1"/>
  <c r="P153" i="21" s="1"/>
  <c r="E161" i="21"/>
  <c r="F161" i="21" s="1"/>
  <c r="G161" i="21" s="1"/>
  <c r="H161" i="21" s="1"/>
  <c r="I161" i="21" s="1"/>
  <c r="J161" i="21" s="1"/>
  <c r="K161" i="21" s="1"/>
  <c r="L161" i="21" s="1"/>
  <c r="M161" i="21" s="1"/>
  <c r="N161" i="21" s="1"/>
  <c r="O161" i="21" s="1"/>
  <c r="P161" i="21" s="1"/>
  <c r="D649" i="21" s="1"/>
  <c r="E169" i="21"/>
  <c r="F169" i="21" s="1"/>
  <c r="G169" i="21" s="1"/>
  <c r="H169" i="21" s="1"/>
  <c r="I169" i="21" s="1"/>
  <c r="J169" i="21" s="1"/>
  <c r="K169" i="21" s="1"/>
  <c r="L169" i="21" s="1"/>
  <c r="M169" i="21" s="1"/>
  <c r="N169" i="21" s="1"/>
  <c r="O169" i="21" s="1"/>
  <c r="P169" i="21" s="1"/>
  <c r="E177" i="21"/>
  <c r="F177" i="21" s="1"/>
  <c r="E185" i="21"/>
  <c r="F185" i="21" s="1"/>
  <c r="G185" i="21" s="1"/>
  <c r="H185" i="21" s="1"/>
  <c r="I185" i="21" s="1"/>
  <c r="J185" i="21" s="1"/>
  <c r="K185" i="21" s="1"/>
  <c r="L185" i="21" s="1"/>
  <c r="M185" i="21" s="1"/>
  <c r="N185" i="21" s="1"/>
  <c r="O185" i="21" s="1"/>
  <c r="P185" i="21" s="1"/>
  <c r="D691" i="21" s="1"/>
  <c r="E193" i="21"/>
  <c r="F193" i="21" s="1"/>
  <c r="G193" i="21" s="1"/>
  <c r="H193" i="21" s="1"/>
  <c r="I193" i="21" s="1"/>
  <c r="J193" i="21" s="1"/>
  <c r="K193" i="21" s="1"/>
  <c r="L193" i="21" s="1"/>
  <c r="M193" i="21" s="1"/>
  <c r="N193" i="21" s="1"/>
  <c r="O193" i="21" s="1"/>
  <c r="P193" i="21" s="1"/>
  <c r="E377" i="21"/>
  <c r="F377" i="21" s="1"/>
  <c r="G377" i="21" s="1"/>
  <c r="H377" i="21" s="1"/>
  <c r="I377" i="21" s="1"/>
  <c r="J377" i="21" s="1"/>
  <c r="K377" i="21" s="1"/>
  <c r="L377" i="21" s="1"/>
  <c r="M377" i="21" s="1"/>
  <c r="N377" i="21" s="1"/>
  <c r="O377" i="21" s="1"/>
  <c r="P377" i="21" s="1"/>
  <c r="E385" i="21"/>
  <c r="F385" i="21" s="1"/>
  <c r="G385" i="21" s="1"/>
  <c r="H385" i="21" s="1"/>
  <c r="I385" i="21" s="1"/>
  <c r="J385" i="21" s="1"/>
  <c r="K385" i="21" s="1"/>
  <c r="L385" i="21" s="1"/>
  <c r="M385" i="21" s="1"/>
  <c r="N385" i="21" s="1"/>
  <c r="O385" i="21" s="1"/>
  <c r="P385" i="21" s="1"/>
  <c r="D1041" i="21" s="1"/>
  <c r="E27" i="21"/>
  <c r="F27" i="21" s="1"/>
  <c r="G27" i="21" s="1"/>
  <c r="H27" i="21" s="1"/>
  <c r="I27" i="21" s="1"/>
  <c r="J27" i="21" s="1"/>
  <c r="K27" i="21" s="1"/>
  <c r="L27" i="21" s="1"/>
  <c r="M27" i="21" s="1"/>
  <c r="N27" i="21" s="1"/>
  <c r="O27" i="21" s="1"/>
  <c r="P27" i="21" s="1"/>
  <c r="D415" i="21" s="1"/>
  <c r="E35" i="21"/>
  <c r="F35" i="21" s="1"/>
  <c r="G35" i="21" s="1"/>
  <c r="H35" i="21" s="1"/>
  <c r="I35" i="21" s="1"/>
  <c r="J35" i="21" s="1"/>
  <c r="K35" i="21" s="1"/>
  <c r="L35" i="21" s="1"/>
  <c r="M35" i="21" s="1"/>
  <c r="N35" i="21" s="1"/>
  <c r="O35" i="21" s="1"/>
  <c r="P35" i="21" s="1"/>
  <c r="D429" i="21" s="1"/>
  <c r="E43" i="21"/>
  <c r="F43" i="21" s="1"/>
  <c r="G43" i="21" s="1"/>
  <c r="H43" i="21" s="1"/>
  <c r="E51" i="21"/>
  <c r="F51" i="21" s="1"/>
  <c r="G51" i="21" s="1"/>
  <c r="H51" i="21" s="1"/>
  <c r="I51" i="21" s="1"/>
  <c r="J51" i="21" s="1"/>
  <c r="K51" i="21" s="1"/>
  <c r="L51" i="21" s="1"/>
  <c r="M51" i="21" s="1"/>
  <c r="N51" i="21" s="1"/>
  <c r="O51" i="21" s="1"/>
  <c r="P51" i="21" s="1"/>
  <c r="D457" i="21" s="1"/>
  <c r="E59" i="21"/>
  <c r="F59" i="21" s="1"/>
  <c r="G59" i="21" s="1"/>
  <c r="H59" i="21" s="1"/>
  <c r="I59" i="21" s="1"/>
  <c r="E67" i="21"/>
  <c r="F67" i="21" s="1"/>
  <c r="G67" i="21" s="1"/>
  <c r="H67" i="21" s="1"/>
  <c r="I67" i="21" s="1"/>
  <c r="E75" i="21"/>
  <c r="F75" i="21" s="1"/>
  <c r="G75" i="21" s="1"/>
  <c r="H75" i="21" s="1"/>
  <c r="I75" i="21" s="1"/>
  <c r="J75" i="21" s="1"/>
  <c r="K75" i="21" s="1"/>
  <c r="L75" i="21" s="1"/>
  <c r="M75" i="21" s="1"/>
  <c r="N75" i="21" s="1"/>
  <c r="O75" i="21" s="1"/>
  <c r="P75" i="21" s="1"/>
  <c r="D499" i="21" s="1"/>
  <c r="E83" i="21"/>
  <c r="F83" i="21" s="1"/>
  <c r="G83" i="21" s="1"/>
  <c r="H83" i="21" s="1"/>
  <c r="I83" i="21" s="1"/>
  <c r="J83" i="21" s="1"/>
  <c r="K83" i="21" s="1"/>
  <c r="L83" i="21" s="1"/>
  <c r="M83" i="21" s="1"/>
  <c r="N83" i="21" s="1"/>
  <c r="O83" i="21" s="1"/>
  <c r="P83" i="21" s="1"/>
  <c r="E91" i="21"/>
  <c r="F91" i="21" s="1"/>
  <c r="G91" i="21" s="1"/>
  <c r="H91" i="21" s="1"/>
  <c r="I91" i="21" s="1"/>
  <c r="J91" i="21" s="1"/>
  <c r="K91" i="21" s="1"/>
  <c r="L91" i="21" s="1"/>
  <c r="M91" i="21" s="1"/>
  <c r="N91" i="21" s="1"/>
  <c r="O91" i="21" s="1"/>
  <c r="P91" i="21" s="1"/>
  <c r="D527" i="21" s="1"/>
  <c r="E99" i="21"/>
  <c r="F99" i="21" s="1"/>
  <c r="G99" i="21" s="1"/>
  <c r="H99" i="21" s="1"/>
  <c r="I99" i="21" s="1"/>
  <c r="J99" i="21" s="1"/>
  <c r="K99" i="21" s="1"/>
  <c r="L99" i="21" s="1"/>
  <c r="M99" i="21" s="1"/>
  <c r="N99" i="21" s="1"/>
  <c r="O99" i="21" s="1"/>
  <c r="P99" i="21" s="1"/>
  <c r="E107" i="21"/>
  <c r="F107" i="21" s="1"/>
  <c r="G107" i="21" s="1"/>
  <c r="H107" i="21" s="1"/>
  <c r="I107" i="21" s="1"/>
  <c r="J107" i="21" s="1"/>
  <c r="K107" i="21" s="1"/>
  <c r="L107" i="21" s="1"/>
  <c r="M107" i="21" s="1"/>
  <c r="N107" i="21" s="1"/>
  <c r="O107" i="21" s="1"/>
  <c r="P107" i="21" s="1"/>
  <c r="D555" i="21" s="1"/>
  <c r="E115" i="21"/>
  <c r="F115" i="21" s="1"/>
  <c r="E123" i="21"/>
  <c r="F123" i="21" s="1"/>
  <c r="G123" i="21" s="1"/>
  <c r="H123" i="21" s="1"/>
  <c r="I123" i="21" s="1"/>
  <c r="J123" i="21" s="1"/>
  <c r="K123" i="21" s="1"/>
  <c r="L123" i="21" s="1"/>
  <c r="M123" i="21" s="1"/>
  <c r="N123" i="21" s="1"/>
  <c r="O123" i="21" s="1"/>
  <c r="P123" i="21" s="1"/>
  <c r="E131" i="21"/>
  <c r="F131" i="21" s="1"/>
  <c r="G131" i="21" s="1"/>
  <c r="H131" i="21" s="1"/>
  <c r="I131" i="21" s="1"/>
  <c r="J131" i="21" s="1"/>
  <c r="K131" i="21" s="1"/>
  <c r="L131" i="21" s="1"/>
  <c r="M131" i="21" s="1"/>
  <c r="N131" i="21" s="1"/>
  <c r="O131" i="21" s="1"/>
  <c r="P131" i="21" s="1"/>
  <c r="D597" i="21" s="1"/>
  <c r="E139" i="21"/>
  <c r="F139" i="21" s="1"/>
  <c r="G139" i="21" s="1"/>
  <c r="H139" i="21" s="1"/>
  <c r="I139" i="21" s="1"/>
  <c r="J139" i="21" s="1"/>
  <c r="K139" i="21" s="1"/>
  <c r="L139" i="21" s="1"/>
  <c r="M139" i="21" s="1"/>
  <c r="N139" i="21" s="1"/>
  <c r="O139" i="21" s="1"/>
  <c r="P139" i="21" s="1"/>
  <c r="E147" i="21"/>
  <c r="F147" i="21" s="1"/>
  <c r="G147" i="21" s="1"/>
  <c r="E155" i="21"/>
  <c r="F155" i="21" s="1"/>
  <c r="G155" i="21" s="1"/>
  <c r="H155" i="21" s="1"/>
  <c r="I155" i="21" s="1"/>
  <c r="J155" i="21" s="1"/>
  <c r="K155" i="21" s="1"/>
  <c r="L155" i="21" s="1"/>
  <c r="M155" i="21" s="1"/>
  <c r="N155" i="21" s="1"/>
  <c r="O155" i="21" s="1"/>
  <c r="P155" i="21" s="1"/>
  <c r="E163" i="21"/>
  <c r="F163" i="21" s="1"/>
  <c r="G163" i="21" s="1"/>
  <c r="H163" i="21" s="1"/>
  <c r="I163" i="21" s="1"/>
  <c r="J163" i="21" s="1"/>
  <c r="K163" i="21" s="1"/>
  <c r="L163" i="21" s="1"/>
  <c r="M163" i="21" s="1"/>
  <c r="N163" i="21" s="1"/>
  <c r="O163" i="21" s="1"/>
  <c r="P163" i="21" s="1"/>
  <c r="D653" i="21" s="1"/>
  <c r="E171" i="21"/>
  <c r="F171" i="21" s="1"/>
  <c r="E179" i="21"/>
  <c r="F179" i="21" s="1"/>
  <c r="G179" i="21" s="1"/>
  <c r="H179" i="21" s="1"/>
  <c r="I179" i="21" s="1"/>
  <c r="J179" i="21" s="1"/>
  <c r="K179" i="21" s="1"/>
  <c r="L179" i="21" s="1"/>
  <c r="M179" i="21" s="1"/>
  <c r="N179" i="21" s="1"/>
  <c r="O179" i="21" s="1"/>
  <c r="P179" i="21" s="1"/>
  <c r="E187" i="21"/>
  <c r="F187" i="21" s="1"/>
  <c r="G187" i="21" s="1"/>
  <c r="H187" i="21" s="1"/>
  <c r="I187" i="21" s="1"/>
  <c r="J187" i="21" s="1"/>
  <c r="K187" i="21" s="1"/>
  <c r="L187" i="21" s="1"/>
  <c r="M187" i="21" s="1"/>
  <c r="N187" i="21" s="1"/>
  <c r="O187" i="21" s="1"/>
  <c r="P187" i="21" s="1"/>
  <c r="D695" i="21" s="1"/>
  <c r="E195" i="21"/>
  <c r="F195" i="21" s="1"/>
  <c r="G195" i="21" s="1"/>
  <c r="H195" i="21" s="1"/>
  <c r="I195" i="21" s="1"/>
  <c r="J195" i="21" s="1"/>
  <c r="K195" i="21" s="1"/>
  <c r="L195" i="21" s="1"/>
  <c r="M195" i="21" s="1"/>
  <c r="N195" i="21" s="1"/>
  <c r="O195" i="21" s="1"/>
  <c r="P195" i="21" s="1"/>
  <c r="E379" i="21"/>
  <c r="F379" i="21" s="1"/>
  <c r="G379" i="21" s="1"/>
  <c r="H379" i="21" s="1"/>
  <c r="I379" i="21" s="1"/>
  <c r="J379" i="21" s="1"/>
  <c r="K379" i="21" s="1"/>
  <c r="L379" i="21" s="1"/>
  <c r="M379" i="21" s="1"/>
  <c r="N379" i="21" s="1"/>
  <c r="O379" i="21" s="1"/>
  <c r="P379" i="21" s="1"/>
  <c r="E387" i="21"/>
  <c r="F387" i="21" s="1"/>
  <c r="G387" i="21" s="1"/>
  <c r="H387" i="21" s="1"/>
  <c r="I387" i="21" s="1"/>
  <c r="J387" i="21" s="1"/>
  <c r="K387" i="21" s="1"/>
  <c r="L387" i="21" s="1"/>
  <c r="M387" i="21" s="1"/>
  <c r="N387" i="21" s="1"/>
  <c r="O387" i="21" s="1"/>
  <c r="P387" i="21" s="1"/>
  <c r="D1045" i="21" s="1"/>
  <c r="C139" i="12"/>
  <c r="C67" i="12"/>
  <c r="C59" i="12"/>
  <c r="C43" i="12"/>
  <c r="C35" i="12"/>
  <c r="C75" i="12"/>
  <c r="C83" i="12"/>
  <c r="C91" i="12"/>
  <c r="C99" i="12"/>
  <c r="C107" i="12"/>
  <c r="C115" i="12"/>
  <c r="C123" i="12"/>
  <c r="C131" i="12"/>
  <c r="C147" i="12"/>
  <c r="C155" i="12"/>
  <c r="C163" i="12"/>
  <c r="C171" i="12"/>
  <c r="C179" i="12"/>
  <c r="C187" i="12"/>
  <c r="C195" i="12"/>
  <c r="C203" i="12"/>
  <c r="C379" i="12"/>
  <c r="D136" i="12"/>
  <c r="E136" i="12" s="1"/>
  <c r="F136" i="12" s="1"/>
  <c r="D64" i="12"/>
  <c r="D56" i="12"/>
  <c r="E56" i="12" s="1"/>
  <c r="F56" i="12" s="1"/>
  <c r="D40" i="12"/>
  <c r="E40" i="12" s="1"/>
  <c r="D32" i="12"/>
  <c r="E32" i="12" s="1"/>
  <c r="F32" i="12" s="1"/>
  <c r="D24" i="12"/>
  <c r="D72" i="12"/>
  <c r="E72" i="12" s="1"/>
  <c r="F72" i="12" s="1"/>
  <c r="G72" i="12" s="1"/>
  <c r="H72" i="12" s="1"/>
  <c r="I72" i="12" s="1"/>
  <c r="J72" i="12" s="1"/>
  <c r="K72" i="12" s="1"/>
  <c r="L72" i="12" s="1"/>
  <c r="M72" i="12" s="1"/>
  <c r="N72" i="12" s="1"/>
  <c r="C449" i="12" s="1"/>
  <c r="D80" i="12"/>
  <c r="E80" i="12" s="1"/>
  <c r="D88" i="12"/>
  <c r="E88" i="12" s="1"/>
  <c r="D96" i="12"/>
  <c r="D104" i="12"/>
  <c r="E104" i="12" s="1"/>
  <c r="F104" i="12" s="1"/>
  <c r="D112" i="12"/>
  <c r="E112" i="12" s="1"/>
  <c r="F112" i="12" s="1"/>
  <c r="G112" i="12" s="1"/>
  <c r="H112" i="12" s="1"/>
  <c r="I112" i="12" s="1"/>
  <c r="J112" i="12" s="1"/>
  <c r="K112" i="12" s="1"/>
  <c r="L112" i="12" s="1"/>
  <c r="M112" i="12" s="1"/>
  <c r="N112" i="12" s="1"/>
  <c r="C489" i="12" s="1"/>
  <c r="E120" i="12"/>
  <c r="F120" i="12" s="1"/>
  <c r="G120" i="12" s="1"/>
  <c r="H120" i="12" s="1"/>
  <c r="E128" i="12"/>
  <c r="D144" i="12"/>
  <c r="E144" i="12" s="1"/>
  <c r="F144" i="12" s="1"/>
  <c r="G144" i="12" s="1"/>
  <c r="H144" i="12" s="1"/>
  <c r="I144" i="12" s="1"/>
  <c r="J144" i="12" s="1"/>
  <c r="K144" i="12" s="1"/>
  <c r="L144" i="12" s="1"/>
  <c r="M144" i="12" s="1"/>
  <c r="N144" i="12" s="1"/>
  <c r="C521" i="12" s="1"/>
  <c r="D152" i="12"/>
  <c r="E152" i="12" s="1"/>
  <c r="D160" i="12"/>
  <c r="E160" i="12" s="1"/>
  <c r="F160" i="12" s="1"/>
  <c r="G160" i="12" s="1"/>
  <c r="H160" i="12" s="1"/>
  <c r="I160" i="12" s="1"/>
  <c r="J160" i="12" s="1"/>
  <c r="K160" i="12" s="1"/>
  <c r="L160" i="12" s="1"/>
  <c r="M160" i="12" s="1"/>
  <c r="D168" i="12"/>
  <c r="E168" i="12" s="1"/>
  <c r="D176" i="12"/>
  <c r="E176" i="12" s="1"/>
  <c r="F176" i="12" s="1"/>
  <c r="G176" i="12" s="1"/>
  <c r="H176" i="12" s="1"/>
  <c r="I176" i="12" s="1"/>
  <c r="J176" i="12" s="1"/>
  <c r="K176" i="12" s="1"/>
  <c r="L176" i="12" s="1"/>
  <c r="M176" i="12" s="1"/>
  <c r="N176" i="12" s="1"/>
  <c r="C553" i="12" s="1"/>
  <c r="D184" i="12"/>
  <c r="E184" i="12" s="1"/>
  <c r="D192" i="12"/>
  <c r="E192" i="12" s="1"/>
  <c r="F192" i="12" s="1"/>
  <c r="D200" i="12"/>
  <c r="E200" i="12" s="1"/>
  <c r="F200" i="12" s="1"/>
  <c r="D376" i="12"/>
  <c r="E376" i="12" s="1"/>
  <c r="F376" i="12" s="1"/>
  <c r="G376" i="12" s="1"/>
  <c r="H376" i="12" s="1"/>
  <c r="I376" i="12" s="1"/>
  <c r="J376" i="12" s="1"/>
  <c r="K376" i="12" s="1"/>
  <c r="L376" i="12" s="1"/>
  <c r="M376" i="12" s="1"/>
  <c r="C753" i="12" s="1"/>
  <c r="D47" i="17"/>
  <c r="O13" i="27"/>
  <c r="O16" i="27"/>
  <c r="O23" i="27"/>
  <c r="O62" i="27"/>
  <c r="O69" i="27"/>
  <c r="O71" i="27"/>
  <c r="O72" i="27"/>
  <c r="O73" i="27"/>
  <c r="O74" i="27"/>
  <c r="O75" i="27"/>
  <c r="O77" i="27"/>
  <c r="D26" i="27"/>
  <c r="D27" i="27"/>
  <c r="D30" i="27"/>
  <c r="D33" i="27"/>
  <c r="D34" i="27"/>
  <c r="D36" i="27"/>
  <c r="D38" i="27"/>
  <c r="D39" i="27"/>
  <c r="D41" i="27"/>
  <c r="D42" i="27"/>
  <c r="D43" i="27"/>
  <c r="D45" i="27"/>
  <c r="D46" i="27"/>
  <c r="D47" i="27"/>
  <c r="D48" i="27"/>
  <c r="D49" i="27"/>
  <c r="D50" i="27"/>
  <c r="D51" i="27"/>
  <c r="D53" i="27"/>
  <c r="D54" i="27"/>
  <c r="D55" i="27"/>
  <c r="D56" i="27"/>
  <c r="D58" i="27"/>
  <c r="D60" i="27"/>
  <c r="E37" i="27"/>
  <c r="E39" i="27"/>
  <c r="E41" i="27"/>
  <c r="E45" i="27"/>
  <c r="E47" i="27"/>
  <c r="E53" i="27"/>
  <c r="E60" i="27"/>
  <c r="F60" i="27"/>
  <c r="G60" i="27"/>
  <c r="H60" i="27"/>
  <c r="I60" i="27"/>
  <c r="J60" i="27"/>
  <c r="K60" i="27"/>
  <c r="L60" i="27"/>
  <c r="M60" i="27"/>
  <c r="N60" i="27"/>
  <c r="C26" i="27"/>
  <c r="C27" i="27"/>
  <c r="C28" i="27"/>
  <c r="C29" i="27"/>
  <c r="C30" i="27"/>
  <c r="C31" i="27"/>
  <c r="C32" i="27"/>
  <c r="C33" i="27"/>
  <c r="C34" i="27"/>
  <c r="C35" i="27"/>
  <c r="C36" i="27"/>
  <c r="C37" i="27"/>
  <c r="C38" i="27"/>
  <c r="C39" i="27"/>
  <c r="C40" i="27"/>
  <c r="C41" i="27"/>
  <c r="C42" i="27"/>
  <c r="C43" i="27"/>
  <c r="C44" i="27"/>
  <c r="C45" i="27"/>
  <c r="C46" i="27"/>
  <c r="C47" i="27"/>
  <c r="C48" i="27"/>
  <c r="C49" i="27"/>
  <c r="C50" i="27"/>
  <c r="C51" i="27"/>
  <c r="C52" i="27"/>
  <c r="C53" i="27"/>
  <c r="C54" i="27"/>
  <c r="C55" i="27"/>
  <c r="C56" i="27"/>
  <c r="C57" i="27"/>
  <c r="C58" i="27"/>
  <c r="C59" i="27"/>
  <c r="C60" i="27"/>
  <c r="B53" i="27"/>
  <c r="B54" i="27"/>
  <c r="B55" i="27"/>
  <c r="B56" i="27"/>
  <c r="B57" i="27"/>
  <c r="B58" i="27"/>
  <c r="B59" i="27"/>
  <c r="B126" i="17"/>
  <c r="B123" i="17"/>
  <c r="B120" i="17"/>
  <c r="B117" i="17"/>
  <c r="B114" i="17"/>
  <c r="B111" i="17"/>
  <c r="B108" i="17"/>
  <c r="F31" i="18"/>
  <c r="F32" i="18"/>
  <c r="F33" i="18"/>
  <c r="F34" i="18"/>
  <c r="D22" i="27"/>
  <c r="E22" i="27"/>
  <c r="F22" i="27"/>
  <c r="G22" i="27"/>
  <c r="H22" i="27"/>
  <c r="I22" i="27"/>
  <c r="J22" i="27"/>
  <c r="K22" i="27"/>
  <c r="L22" i="27"/>
  <c r="M22" i="27"/>
  <c r="N22" i="27"/>
  <c r="C22" i="27"/>
  <c r="F35" i="18"/>
  <c r="B52" i="27"/>
  <c r="B47" i="27"/>
  <c r="B48" i="27"/>
  <c r="B49" i="27"/>
  <c r="B50" i="27"/>
  <c r="B51" i="27"/>
  <c r="B46" i="27"/>
  <c r="B45" i="27"/>
  <c r="B43" i="27"/>
  <c r="B44" i="27"/>
  <c r="B27" i="27"/>
  <c r="B28" i="27"/>
  <c r="B29" i="27"/>
  <c r="B30" i="27"/>
  <c r="B31" i="27"/>
  <c r="B32" i="27"/>
  <c r="B33" i="27"/>
  <c r="B34" i="27"/>
  <c r="B35" i="27"/>
  <c r="B36" i="27"/>
  <c r="B37" i="27"/>
  <c r="B38" i="27"/>
  <c r="B39" i="27"/>
  <c r="B40" i="27"/>
  <c r="B41" i="27"/>
  <c r="B42" i="27"/>
  <c r="B26" i="27"/>
  <c r="C139" i="15"/>
  <c r="C140" i="15"/>
  <c r="C141" i="15"/>
  <c r="C142" i="15"/>
  <c r="C143" i="15"/>
  <c r="C138" i="15"/>
  <c r="C121" i="15"/>
  <c r="C104" i="15"/>
  <c r="C105" i="15"/>
  <c r="C106" i="15"/>
  <c r="C107" i="15"/>
  <c r="C108" i="15"/>
  <c r="C103" i="15"/>
  <c r="C89" i="15"/>
  <c r="C92" i="15"/>
  <c r="C93" i="15"/>
  <c r="C88" i="15"/>
  <c r="B155" i="17"/>
  <c r="B152" i="17"/>
  <c r="B149" i="17"/>
  <c r="B146" i="17"/>
  <c r="B143" i="17"/>
  <c r="B140" i="17"/>
  <c r="B137" i="17"/>
  <c r="B105" i="17"/>
  <c r="B158" i="17"/>
  <c r="B96" i="17"/>
  <c r="B93" i="17"/>
  <c r="B90" i="17"/>
  <c r="B87" i="17"/>
  <c r="B84" i="17"/>
  <c r="B81" i="17"/>
  <c r="B75" i="17"/>
  <c r="B72" i="17"/>
  <c r="B56" i="17"/>
  <c r="B65" i="17"/>
  <c r="B59" i="17"/>
  <c r="B99" i="17"/>
  <c r="B62" i="17"/>
  <c r="B69" i="17"/>
  <c r="B78" i="17"/>
  <c r="B66" i="17"/>
  <c r="B1035" i="21"/>
  <c r="B573" i="12"/>
  <c r="B727" i="21" s="1"/>
  <c r="B565" i="12"/>
  <c r="B713" i="21" s="1"/>
  <c r="B557" i="12"/>
  <c r="B699" i="21" s="1"/>
  <c r="B549" i="12"/>
  <c r="B685" i="21" s="1"/>
  <c r="B541" i="12"/>
  <c r="B671" i="21" s="1"/>
  <c r="B533" i="12"/>
  <c r="B657" i="21" s="1"/>
  <c r="B525" i="12"/>
  <c r="B643" i="21" s="1"/>
  <c r="B517" i="12"/>
  <c r="B629" i="21" s="1"/>
  <c r="B509" i="12"/>
  <c r="B615" i="21" s="1"/>
  <c r="B501" i="12"/>
  <c r="B601" i="21" s="1"/>
  <c r="B493" i="12"/>
  <c r="B587" i="21" s="1"/>
  <c r="B485" i="12"/>
  <c r="B573" i="21" s="1"/>
  <c r="B477" i="12"/>
  <c r="B559" i="21" s="1"/>
  <c r="B469" i="12"/>
  <c r="B545" i="21" s="1"/>
  <c r="B461" i="12"/>
  <c r="B531" i="21" s="1"/>
  <c r="B453" i="12"/>
  <c r="B517" i="21" s="1"/>
  <c r="B445" i="12"/>
  <c r="B503" i="21" s="1"/>
  <c r="B437" i="12"/>
  <c r="B489" i="21" s="1"/>
  <c r="B429" i="12"/>
  <c r="B475" i="21" s="1"/>
  <c r="C535" i="12"/>
  <c r="F327" i="14"/>
  <c r="G327" i="14"/>
  <c r="H327" i="14"/>
  <c r="I327" i="14"/>
  <c r="E327" i="14"/>
  <c r="C743" i="12"/>
  <c r="C575" i="12"/>
  <c r="C567" i="12"/>
  <c r="C559" i="12"/>
  <c r="C551" i="12"/>
  <c r="C543" i="12"/>
  <c r="C527" i="12"/>
  <c r="C519" i="12"/>
  <c r="C511" i="12"/>
  <c r="C503" i="12"/>
  <c r="C495" i="12"/>
  <c r="C487" i="12"/>
  <c r="C479" i="12"/>
  <c r="C471" i="12"/>
  <c r="C463" i="12"/>
  <c r="C455" i="12"/>
  <c r="C447" i="12"/>
  <c r="C439" i="12"/>
  <c r="C431" i="12"/>
  <c r="C423" i="12"/>
  <c r="C415" i="12"/>
  <c r="C407" i="12"/>
  <c r="C399" i="12"/>
  <c r="J125" i="18"/>
  <c r="K125" i="18"/>
  <c r="K130" i="18"/>
  <c r="L125" i="18"/>
  <c r="L130" i="18"/>
  <c r="L135" i="18"/>
  <c r="L131" i="18" s="1"/>
  <c r="K41" i="13"/>
  <c r="L19" i="13"/>
  <c r="M19" i="13"/>
  <c r="N19" i="13"/>
  <c r="O19" i="13"/>
  <c r="L23" i="13"/>
  <c r="M23" i="13"/>
  <c r="N23" i="13"/>
  <c r="O23" i="13"/>
  <c r="L27" i="13"/>
  <c r="M27" i="13"/>
  <c r="N27" i="13"/>
  <c r="O27" i="13"/>
  <c r="L28" i="13"/>
  <c r="M28" i="13"/>
  <c r="N28" i="13"/>
  <c r="O28" i="13"/>
  <c r="M125" i="18"/>
  <c r="M130" i="18"/>
  <c r="M135" i="18"/>
  <c r="M140" i="18"/>
  <c r="K19" i="13"/>
  <c r="K23" i="13"/>
  <c r="K27" i="13"/>
  <c r="K28" i="13"/>
  <c r="I263" i="14"/>
  <c r="E263" i="14"/>
  <c r="F263" i="14"/>
  <c r="G263" i="14"/>
  <c r="H263" i="14"/>
  <c r="D172" i="14"/>
  <c r="C131" i="14"/>
  <c r="C132" i="14"/>
  <c r="C133" i="14"/>
  <c r="C134" i="14"/>
  <c r="C135" i="14"/>
  <c r="C136" i="14"/>
  <c r="C276" i="14"/>
  <c r="E159" i="14"/>
  <c r="K159" i="14"/>
  <c r="E172" i="14" s="1"/>
  <c r="C130" i="14"/>
  <c r="C92" i="13"/>
  <c r="C82" i="13"/>
  <c r="I125" i="18"/>
  <c r="J130" i="18"/>
  <c r="K135" i="18"/>
  <c r="L140" i="18"/>
  <c r="D84" i="27"/>
  <c r="D90" i="13"/>
  <c r="D91" i="13"/>
  <c r="B52" i="13"/>
  <c r="B8" i="13"/>
  <c r="J8" i="13" s="1"/>
  <c r="B49" i="13"/>
  <c r="B25" i="20"/>
  <c r="B20" i="20"/>
  <c r="B12" i="20"/>
  <c r="B16" i="20"/>
  <c r="B15" i="20"/>
  <c r="B33" i="20"/>
  <c r="B34" i="20"/>
  <c r="B35" i="20"/>
  <c r="B36" i="20"/>
  <c r="B32" i="20"/>
  <c r="B30" i="20"/>
  <c r="B26" i="20"/>
  <c r="B27" i="20"/>
  <c r="B28" i="20"/>
  <c r="B29" i="20"/>
  <c r="B8" i="21"/>
  <c r="B381" i="21"/>
  <c r="B392" i="21"/>
  <c r="B8" i="18"/>
  <c r="B8" i="17"/>
  <c r="B8" i="12"/>
  <c r="B8" i="14"/>
  <c r="AK20" i="15"/>
  <c r="AK54" i="15"/>
  <c r="Y20" i="15"/>
  <c r="AB20" i="15"/>
  <c r="AH20" i="15"/>
  <c r="Y54" i="15"/>
  <c r="AB54" i="15"/>
  <c r="AE54" i="15"/>
  <c r="AH54" i="15"/>
  <c r="S20" i="15"/>
  <c r="V20" i="15"/>
  <c r="J54" i="15"/>
  <c r="P54" i="15"/>
  <c r="S54" i="15"/>
  <c r="V54" i="15"/>
  <c r="M127" i="15"/>
  <c r="J127" i="15"/>
  <c r="G127" i="15"/>
  <c r="J94" i="15"/>
  <c r="C82" i="15"/>
  <c r="C20" i="22"/>
  <c r="B12" i="22"/>
  <c r="G292" i="14"/>
  <c r="L132" i="18"/>
  <c r="N127" i="18"/>
  <c r="D28" i="27"/>
  <c r="F51" i="27"/>
  <c r="E51" i="27"/>
  <c r="F47" i="27"/>
  <c r="D35" i="27"/>
  <c r="D37" i="27"/>
  <c r="E28" i="27"/>
  <c r="H370" i="14"/>
  <c r="E261" i="14"/>
  <c r="F284" i="14"/>
  <c r="F608" i="21"/>
  <c r="E43" i="27"/>
  <c r="F43" i="27"/>
  <c r="E30" i="27"/>
  <c r="E34" i="27"/>
  <c r="F39" i="27"/>
  <c r="E58" i="27"/>
  <c r="E36" i="27"/>
  <c r="G41" i="27"/>
  <c r="F41" i="27"/>
  <c r="F45" i="27"/>
  <c r="H48" i="27"/>
  <c r="E48" i="27"/>
  <c r="F53" i="27"/>
  <c r="G45" i="27"/>
  <c r="F36" i="27"/>
  <c r="G36" i="27"/>
  <c r="I39" i="27"/>
  <c r="G39" i="27"/>
  <c r="F48" i="27"/>
  <c r="F58" i="27"/>
  <c r="F42" i="27"/>
  <c r="H39" i="27"/>
  <c r="E50" i="27"/>
  <c r="E44" i="27"/>
  <c r="F50" i="27"/>
  <c r="F44" i="27"/>
  <c r="E46" i="27"/>
  <c r="E54" i="27"/>
  <c r="E56" i="27"/>
  <c r="H41" i="27"/>
  <c r="I41" i="27"/>
  <c r="G584" i="21"/>
  <c r="G650" i="21"/>
  <c r="F54" i="27"/>
  <c r="J41" i="27"/>
  <c r="K41" i="27"/>
  <c r="I54" i="27"/>
  <c r="G54" i="27"/>
  <c r="H54" i="27"/>
  <c r="L41" i="27"/>
  <c r="G50" i="27"/>
  <c r="F56" i="27"/>
  <c r="F30" i="27"/>
  <c r="F46" i="27"/>
  <c r="G48" i="27"/>
  <c r="J312" i="14"/>
  <c r="E49" i="27"/>
  <c r="D32" i="27"/>
  <c r="K71" i="15"/>
  <c r="N71" i="15" s="1"/>
  <c r="O71" i="15" s="1"/>
  <c r="I71" i="15"/>
  <c r="K34" i="15"/>
  <c r="I34" i="15"/>
  <c r="H308" i="14"/>
  <c r="K31" i="15"/>
  <c r="I68" i="15"/>
  <c r="K68" i="15"/>
  <c r="E32" i="27"/>
  <c r="G44" i="27"/>
  <c r="G30" i="27"/>
  <c r="H50" i="27"/>
  <c r="G46" i="27"/>
  <c r="G56" i="27"/>
  <c r="M41" i="27"/>
  <c r="H56" i="27"/>
  <c r="H46" i="27"/>
  <c r="I50" i="27"/>
  <c r="H30" i="27"/>
  <c r="H44" i="27"/>
  <c r="F32" i="27"/>
  <c r="G49" i="27"/>
  <c r="H49" i="27"/>
  <c r="I30" i="27"/>
  <c r="I56" i="27"/>
  <c r="K56" i="27"/>
  <c r="I44" i="27"/>
  <c r="J56" i="27"/>
  <c r="J44" i="27"/>
  <c r="K44" i="27"/>
  <c r="L67" i="27"/>
  <c r="J67" i="27"/>
  <c r="D67" i="27"/>
  <c r="H67" i="27"/>
  <c r="N67" i="27"/>
  <c r="K67" i="27"/>
  <c r="E67" i="27"/>
  <c r="F67" i="27"/>
  <c r="I67" i="27"/>
  <c r="M67" i="27"/>
  <c r="C67" i="27"/>
  <c r="G67" i="27"/>
  <c r="G33" i="18"/>
  <c r="H33" i="18"/>
  <c r="I33" i="18" s="1"/>
  <c r="H34" i="18"/>
  <c r="I34" i="18" s="1"/>
  <c r="G34" i="18"/>
  <c r="H183" i="21"/>
  <c r="I183" i="21" s="1"/>
  <c r="J183" i="21" s="1"/>
  <c r="K183" i="21" s="1"/>
  <c r="L183" i="21" s="1"/>
  <c r="M183" i="21" s="1"/>
  <c r="N183" i="21" s="1"/>
  <c r="O183" i="21" s="1"/>
  <c r="P183" i="21" s="1"/>
  <c r="G261" i="14"/>
  <c r="F261" i="14"/>
  <c r="H301" i="14" s="1"/>
  <c r="E31" i="27"/>
  <c r="F31" i="27"/>
  <c r="E38" i="27"/>
  <c r="E49" i="20"/>
  <c r="E35" i="27"/>
  <c r="H261" i="14"/>
  <c r="J303" i="14" s="1"/>
  <c r="I261" i="14"/>
  <c r="J304" i="14" s="1"/>
  <c r="G31" i="27"/>
  <c r="F38" i="27"/>
  <c r="G35" i="27"/>
  <c r="F35" i="27"/>
  <c r="F49" i="20"/>
  <c r="J261" i="14"/>
  <c r="J305" i="14" s="1"/>
  <c r="J31" i="27"/>
  <c r="G38" i="27"/>
  <c r="H38" i="27"/>
  <c r="I38" i="27"/>
  <c r="K31" i="27"/>
  <c r="J38" i="27"/>
  <c r="L38" i="27"/>
  <c r="K38" i="27"/>
  <c r="M38" i="27"/>
  <c r="N38" i="27"/>
  <c r="G308" i="14"/>
  <c r="E308" i="14"/>
  <c r="E314" i="14" s="1"/>
  <c r="I308" i="14"/>
  <c r="F292" i="14"/>
  <c r="H35" i="27"/>
  <c r="L56" i="27"/>
  <c r="K52" i="15"/>
  <c r="I52" i="15"/>
  <c r="D40" i="27"/>
  <c r="E47" i="17"/>
  <c r="D45" i="20"/>
  <c r="D59" i="27"/>
  <c r="I31" i="27"/>
  <c r="P25" i="17"/>
  <c r="D65" i="17" s="1"/>
  <c r="H31" i="27"/>
  <c r="L44" i="27"/>
  <c r="N41" i="27"/>
  <c r="I46" i="27"/>
  <c r="J39" i="27"/>
  <c r="G58" i="27"/>
  <c r="G32" i="27"/>
  <c r="H36" i="27"/>
  <c r="J30" i="27"/>
  <c r="G53" i="27"/>
  <c r="I49" i="27"/>
  <c r="K54" i="27"/>
  <c r="J54" i="27"/>
  <c r="F26" i="27"/>
  <c r="F49" i="27"/>
  <c r="I48" i="27"/>
  <c r="F151" i="21"/>
  <c r="G151" i="21" s="1"/>
  <c r="H151" i="21" s="1"/>
  <c r="I151" i="21" s="1"/>
  <c r="J151" i="21" s="1"/>
  <c r="K151" i="21" s="1"/>
  <c r="L151" i="21" s="1"/>
  <c r="M151" i="21" s="1"/>
  <c r="N151" i="21" s="1"/>
  <c r="O151" i="21" s="1"/>
  <c r="P151" i="21" s="1"/>
  <c r="F34" i="27"/>
  <c r="H45" i="27"/>
  <c r="F28" i="27"/>
  <c r="E33" i="27"/>
  <c r="E27" i="27"/>
  <c r="F37" i="27"/>
  <c r="G43" i="27"/>
  <c r="G51" i="27"/>
  <c r="D57" i="27"/>
  <c r="G47" i="27"/>
  <c r="G430" i="21"/>
  <c r="D49" i="20"/>
  <c r="D31" i="27"/>
  <c r="D29" i="27"/>
  <c r="O29" i="27" s="1"/>
  <c r="D52" i="27"/>
  <c r="J308" i="14"/>
  <c r="F308" i="14"/>
  <c r="H47" i="27"/>
  <c r="F33" i="27"/>
  <c r="E59" i="27"/>
  <c r="E40" i="27"/>
  <c r="G42" i="27"/>
  <c r="M44" i="27"/>
  <c r="J48" i="27"/>
  <c r="G26" i="27"/>
  <c r="L54" i="27"/>
  <c r="K30" i="27"/>
  <c r="I36" i="27"/>
  <c r="K39" i="27"/>
  <c r="P28" i="17"/>
  <c r="D158" i="17" s="1"/>
  <c r="M56" i="27"/>
  <c r="I35" i="27"/>
  <c r="E52" i="27"/>
  <c r="H51" i="27"/>
  <c r="G37" i="27"/>
  <c r="G34" i="27"/>
  <c r="G49" i="20"/>
  <c r="J50" i="27"/>
  <c r="H53" i="27"/>
  <c r="L31" i="27"/>
  <c r="E29" i="27"/>
  <c r="H58" i="27"/>
  <c r="E57" i="27"/>
  <c r="H43" i="27"/>
  <c r="F27" i="27"/>
  <c r="G28" i="27"/>
  <c r="I45" i="27"/>
  <c r="J49" i="27"/>
  <c r="H32" i="27"/>
  <c r="J46" i="27"/>
  <c r="I32" i="27"/>
  <c r="J45" i="27"/>
  <c r="H37" i="27"/>
  <c r="J35" i="27"/>
  <c r="H42" i="27"/>
  <c r="I43" i="27"/>
  <c r="K50" i="27"/>
  <c r="H34" i="27"/>
  <c r="H49" i="20"/>
  <c r="N44" i="27"/>
  <c r="P31" i="17"/>
  <c r="D140" i="17" s="1"/>
  <c r="F59" i="27"/>
  <c r="I58" i="27"/>
  <c r="G27" i="27"/>
  <c r="M31" i="27"/>
  <c r="F52" i="27"/>
  <c r="N56" i="27"/>
  <c r="P43" i="17"/>
  <c r="D117" i="17" s="1"/>
  <c r="J36" i="27"/>
  <c r="L30" i="27"/>
  <c r="F40" i="27"/>
  <c r="G33" i="27"/>
  <c r="F57" i="27"/>
  <c r="K49" i="27"/>
  <c r="F29" i="27"/>
  <c r="I53" i="27"/>
  <c r="I51" i="27"/>
  <c r="M54" i="27"/>
  <c r="N54" i="27"/>
  <c r="I47" i="27"/>
  <c r="K46" i="27"/>
  <c r="H28" i="27"/>
  <c r="L39" i="27"/>
  <c r="H26" i="27"/>
  <c r="K48" i="27"/>
  <c r="I26" i="27"/>
  <c r="L46" i="27"/>
  <c r="G52" i="27"/>
  <c r="H27" i="27"/>
  <c r="L50" i="27"/>
  <c r="J32" i="27"/>
  <c r="J53" i="27"/>
  <c r="N39" i="27"/>
  <c r="M39" i="27"/>
  <c r="P26" i="17"/>
  <c r="D96" i="17" s="1"/>
  <c r="I28" i="27"/>
  <c r="P41" i="17"/>
  <c r="D111" i="17" s="1"/>
  <c r="L49" i="27"/>
  <c r="G57" i="27"/>
  <c r="H33" i="27"/>
  <c r="K36" i="27"/>
  <c r="N31" i="27"/>
  <c r="P18" i="17"/>
  <c r="D105" i="17" s="1"/>
  <c r="G59" i="27"/>
  <c r="I34" i="27"/>
  <c r="I49" i="20"/>
  <c r="L48" i="27"/>
  <c r="K35" i="27"/>
  <c r="G40" i="27"/>
  <c r="N30" i="27"/>
  <c r="M30" i="27"/>
  <c r="J43" i="27"/>
  <c r="I42" i="27"/>
  <c r="J47" i="27"/>
  <c r="J51" i="27"/>
  <c r="G29" i="27"/>
  <c r="J58" i="27"/>
  <c r="I37" i="27"/>
  <c r="K45" i="27"/>
  <c r="J42" i="27"/>
  <c r="M49" i="27"/>
  <c r="N49" i="27"/>
  <c r="M50" i="27"/>
  <c r="P17" i="17"/>
  <c r="K32" i="27"/>
  <c r="L45" i="27"/>
  <c r="H40" i="27"/>
  <c r="H59" i="27"/>
  <c r="K53" i="27"/>
  <c r="I27" i="27"/>
  <c r="N48" i="27"/>
  <c r="M48" i="27"/>
  <c r="L36" i="27"/>
  <c r="I33" i="27"/>
  <c r="J37" i="27"/>
  <c r="K51" i="27"/>
  <c r="K43" i="27"/>
  <c r="H57" i="27"/>
  <c r="M46" i="27"/>
  <c r="N46" i="27"/>
  <c r="K58" i="27"/>
  <c r="H29" i="27"/>
  <c r="K47" i="27"/>
  <c r="L35" i="27"/>
  <c r="J34" i="27"/>
  <c r="J49" i="20"/>
  <c r="P36" i="17"/>
  <c r="D87" i="17" s="1"/>
  <c r="J28" i="27"/>
  <c r="H52" i="27"/>
  <c r="J26" i="27"/>
  <c r="P23" i="17"/>
  <c r="D90" i="17" s="1"/>
  <c r="N50" i="27"/>
  <c r="P37" i="17"/>
  <c r="D155" i="17" s="1"/>
  <c r="M35" i="27"/>
  <c r="N35" i="27"/>
  <c r="P22" i="17"/>
  <c r="D143" i="17" s="1"/>
  <c r="L51" i="27"/>
  <c r="J33" i="27"/>
  <c r="J61" i="27" s="1"/>
  <c r="I59" i="27"/>
  <c r="L53" i="27"/>
  <c r="L32" i="27"/>
  <c r="P33" i="17"/>
  <c r="D137" i="17" s="1"/>
  <c r="K26" i="27"/>
  <c r="I52" i="27"/>
  <c r="K37" i="27"/>
  <c r="M36" i="27"/>
  <c r="N36" i="27"/>
  <c r="K28" i="27"/>
  <c r="K34" i="27"/>
  <c r="K49" i="20"/>
  <c r="L47" i="27"/>
  <c r="I29" i="27"/>
  <c r="L58" i="27"/>
  <c r="I57" i="27"/>
  <c r="L43" i="27"/>
  <c r="J27" i="27"/>
  <c r="I40" i="27"/>
  <c r="M45" i="27"/>
  <c r="K42" i="27"/>
  <c r="P35" i="17"/>
  <c r="D152" i="17" s="1"/>
  <c r="P40" i="17"/>
  <c r="D108" i="17" s="1"/>
  <c r="N45" i="27"/>
  <c r="P32" i="17"/>
  <c r="D72" i="17" s="1"/>
  <c r="J57" i="27"/>
  <c r="L28" i="27"/>
  <c r="M58" i="27"/>
  <c r="J40" i="27"/>
  <c r="M43" i="27"/>
  <c r="M47" i="27"/>
  <c r="L34" i="27"/>
  <c r="L49" i="20"/>
  <c r="L26" i="27"/>
  <c r="M32" i="27"/>
  <c r="J59" i="27"/>
  <c r="K27" i="27"/>
  <c r="J29" i="27"/>
  <c r="N53" i="27"/>
  <c r="M53" i="27"/>
  <c r="L42" i="27"/>
  <c r="L37" i="27"/>
  <c r="J52" i="27"/>
  <c r="K33" i="27"/>
  <c r="M51" i="27"/>
  <c r="K59" i="27"/>
  <c r="L33" i="27"/>
  <c r="M26" i="27"/>
  <c r="N47" i="27"/>
  <c r="P34" i="17"/>
  <c r="D146" i="17" s="1"/>
  <c r="K57" i="27"/>
  <c r="N51" i="27"/>
  <c r="P38" i="17"/>
  <c r="D56" i="17" s="1"/>
  <c r="E56" i="17" s="1"/>
  <c r="M37" i="27"/>
  <c r="K52" i="27"/>
  <c r="M42" i="27"/>
  <c r="K29" i="27"/>
  <c r="M34" i="27"/>
  <c r="M49" i="20"/>
  <c r="N43" i="27"/>
  <c r="P30" i="17"/>
  <c r="D93" i="17" s="1"/>
  <c r="K40" i="27"/>
  <c r="L27" i="27"/>
  <c r="N32" i="27"/>
  <c r="P19" i="17"/>
  <c r="D99" i="17" s="1"/>
  <c r="N58" i="27"/>
  <c r="P45" i="17"/>
  <c r="D123" i="17" s="1"/>
  <c r="M28" i="27"/>
  <c r="L57" i="27"/>
  <c r="L40" i="27"/>
  <c r="L52" i="27"/>
  <c r="N26" i="27"/>
  <c r="M27" i="27"/>
  <c r="L29" i="27"/>
  <c r="N37" i="27"/>
  <c r="P24" i="17"/>
  <c r="M33" i="27"/>
  <c r="L59" i="27"/>
  <c r="N34" i="27"/>
  <c r="N49" i="20"/>
  <c r="P21" i="17"/>
  <c r="D149" i="17" s="1"/>
  <c r="N42" i="27"/>
  <c r="P29" i="17"/>
  <c r="D81" i="17"/>
  <c r="N28" i="27"/>
  <c r="P15" i="17"/>
  <c r="D69" i="17" s="1"/>
  <c r="E69" i="17" s="1"/>
  <c r="P13" i="17"/>
  <c r="D66" i="17" s="1"/>
  <c r="M59" i="27"/>
  <c r="N33" i="27"/>
  <c r="P20" i="17"/>
  <c r="D59" i="17" s="1"/>
  <c r="M40" i="27"/>
  <c r="N52" i="27"/>
  <c r="M52" i="27"/>
  <c r="M29" i="27"/>
  <c r="N27" i="27"/>
  <c r="P14" i="17"/>
  <c r="D78" i="17" s="1"/>
  <c r="M57" i="27"/>
  <c r="N40" i="27"/>
  <c r="P27" i="17"/>
  <c r="D84" i="17" s="1"/>
  <c r="N57" i="27"/>
  <c r="P44" i="17"/>
  <c r="D120" i="17" s="1"/>
  <c r="N29" i="27"/>
  <c r="P16" i="17"/>
  <c r="D62" i="17" s="1"/>
  <c r="E62" i="17" s="1"/>
  <c r="F62" i="17" s="1"/>
  <c r="P39" i="17"/>
  <c r="D75" i="17" s="1"/>
  <c r="N59" i="27"/>
  <c r="P46" i="17"/>
  <c r="D126" i="17" s="1"/>
  <c r="E55" i="27"/>
  <c r="E45" i="20"/>
  <c r="F47" i="17"/>
  <c r="L57" i="14"/>
  <c r="L65" i="14"/>
  <c r="L79" i="14"/>
  <c r="L43" i="14"/>
  <c r="G47" i="17"/>
  <c r="F45" i="20"/>
  <c r="F55" i="27"/>
  <c r="H47" i="17"/>
  <c r="G55" i="27"/>
  <c r="G45" i="20"/>
  <c r="I47" i="17"/>
  <c r="H55" i="27"/>
  <c r="H45" i="20"/>
  <c r="I55" i="27"/>
  <c r="I45" i="20"/>
  <c r="J47" i="17"/>
  <c r="J55" i="27"/>
  <c r="J45" i="20"/>
  <c r="J46" i="20" s="1"/>
  <c r="K47" i="17"/>
  <c r="K45" i="20"/>
  <c r="K46" i="20" s="1"/>
  <c r="L47" i="17"/>
  <c r="K55" i="27"/>
  <c r="L55" i="27"/>
  <c r="L45" i="20"/>
  <c r="L46" i="20" s="1"/>
  <c r="M47" i="17"/>
  <c r="M45" i="20"/>
  <c r="M46" i="20" s="1"/>
  <c r="N47" i="17"/>
  <c r="M55" i="27"/>
  <c r="N55" i="27"/>
  <c r="O47" i="17"/>
  <c r="N45" i="20"/>
  <c r="P42" i="17"/>
  <c r="D114" i="17" s="1"/>
  <c r="L142" i="14"/>
  <c r="L46" i="14"/>
  <c r="L76" i="14"/>
  <c r="L17" i="14"/>
  <c r="L54" i="14"/>
  <c r="L160" i="14"/>
  <c r="L99" i="14"/>
  <c r="L34" i="14"/>
  <c r="F626" i="21"/>
  <c r="G570" i="21"/>
  <c r="G636" i="21"/>
  <c r="F542" i="21"/>
  <c r="I696" i="21"/>
  <c r="G510" i="21"/>
  <c r="G482" i="21"/>
  <c r="I598" i="21"/>
  <c r="I430" i="21"/>
  <c r="I590" i="21"/>
  <c r="F664" i="21"/>
  <c r="E33" i="13"/>
  <c r="M33" i="13" s="1"/>
  <c r="H311" i="14"/>
  <c r="I311" i="14"/>
  <c r="I29" i="15"/>
  <c r="K29" i="15"/>
  <c r="L29" i="15" s="1"/>
  <c r="K69" i="15"/>
  <c r="I69" i="15"/>
  <c r="I580" i="21"/>
  <c r="I692" i="21"/>
  <c r="I570" i="21"/>
  <c r="I618" i="21"/>
  <c r="I636" i="21"/>
  <c r="I1042" i="21"/>
  <c r="G458" i="21"/>
  <c r="G580" i="21"/>
  <c r="G412" i="21"/>
  <c r="G594" i="21"/>
  <c r="G422" i="21"/>
  <c r="G500" i="21"/>
  <c r="G696" i="21"/>
  <c r="G706" i="21"/>
  <c r="G612" i="21"/>
  <c r="G284" i="14"/>
  <c r="E284" i="14"/>
  <c r="E290" i="14" s="1"/>
  <c r="K49" i="15"/>
  <c r="I464" i="21"/>
  <c r="H35" i="18"/>
  <c r="I35" i="18" s="1"/>
  <c r="G35" i="18"/>
  <c r="N34" i="15"/>
  <c r="Q34" i="15" s="1"/>
  <c r="R34" i="15" s="1"/>
  <c r="L34" i="15"/>
  <c r="L70" i="15"/>
  <c r="F33" i="13"/>
  <c r="G33" i="13" s="1"/>
  <c r="H33" i="13" s="1"/>
  <c r="P33" i="13" s="1"/>
  <c r="J121" i="18"/>
  <c r="L121" i="18"/>
  <c r="K121" i="18"/>
  <c r="M121" i="18"/>
  <c r="L122" i="18"/>
  <c r="K122" i="18"/>
  <c r="J122" i="18"/>
  <c r="M122" i="18"/>
  <c r="O65" i="27"/>
  <c r="P30" i="13"/>
  <c r="M132" i="18"/>
  <c r="M131" i="18"/>
  <c r="F95" i="21"/>
  <c r="G95" i="21" s="1"/>
  <c r="H95" i="21" s="1"/>
  <c r="I95" i="21" s="1"/>
  <c r="J95" i="21" s="1"/>
  <c r="K95" i="21" s="1"/>
  <c r="L95" i="21" s="1"/>
  <c r="M95" i="21" s="1"/>
  <c r="N95" i="21" s="1"/>
  <c r="O95" i="21" s="1"/>
  <c r="P95" i="21" s="1"/>
  <c r="G83" i="17"/>
  <c r="G80" i="17"/>
  <c r="G86" i="17"/>
  <c r="G92" i="17" s="1"/>
  <c r="H287" i="14"/>
  <c r="G31" i="18"/>
  <c r="H31" i="18"/>
  <c r="I31" i="18" s="1"/>
  <c r="G32" i="18"/>
  <c r="I440" i="21"/>
  <c r="I552" i="21"/>
  <c r="I472" i="21"/>
  <c r="I450" i="21"/>
  <c r="I510" i="21"/>
  <c r="I556" i="21"/>
  <c r="I1046" i="21"/>
  <c r="I654" i="21"/>
  <c r="I674" i="21"/>
  <c r="I458" i="21"/>
  <c r="I706" i="21"/>
  <c r="K50" i="15"/>
  <c r="I50" i="15"/>
  <c r="L68" i="15"/>
  <c r="N68" i="15"/>
  <c r="O68" i="15" s="1"/>
  <c r="D386" i="21"/>
  <c r="F682" i="21"/>
  <c r="F692" i="21"/>
  <c r="F622" i="21"/>
  <c r="F654" i="21"/>
  <c r="F496" i="21"/>
  <c r="F556" i="21"/>
  <c r="F706" i="21"/>
  <c r="F570" i="21"/>
  <c r="F528" i="21"/>
  <c r="E292" i="14"/>
  <c r="E298" i="14" s="1"/>
  <c r="H292" i="14"/>
  <c r="M136" i="18"/>
  <c r="M137" i="18"/>
  <c r="J14" i="15"/>
  <c r="G25" i="21"/>
  <c r="H25" i="21" s="1"/>
  <c r="I25" i="21" s="1"/>
  <c r="J25" i="21" s="1"/>
  <c r="K25" i="21" s="1"/>
  <c r="L25" i="21" s="1"/>
  <c r="M25" i="21" s="1"/>
  <c r="N25" i="21" s="1"/>
  <c r="O25" i="21" s="1"/>
  <c r="P25" i="21" s="1"/>
  <c r="D411" i="21" s="1"/>
  <c r="K16" i="15"/>
  <c r="N16" i="15" s="1"/>
  <c r="I48" i="15"/>
  <c r="K67" i="15"/>
  <c r="N67" i="15" s="1"/>
  <c r="Q67" i="15" s="1"/>
  <c r="G20" i="15"/>
  <c r="D17" i="16"/>
  <c r="F16" i="16"/>
  <c r="G16" i="16" s="1"/>
  <c r="E17" i="16"/>
  <c r="L31" i="14"/>
  <c r="L75" i="14"/>
  <c r="L155" i="14"/>
  <c r="L147" i="14"/>
  <c r="L52" i="14"/>
  <c r="L102" i="14"/>
  <c r="L15" i="14"/>
  <c r="L14" i="14"/>
  <c r="L27" i="14"/>
  <c r="L96" i="14"/>
  <c r="L26" i="14"/>
  <c r="L25" i="14"/>
  <c r="L94" i="14"/>
  <c r="L30" i="14"/>
  <c r="L74" i="14"/>
  <c r="L152" i="14"/>
  <c r="L19" i="14"/>
  <c r="L86" i="14"/>
  <c r="L85" i="14"/>
  <c r="L120" i="14"/>
  <c r="L151" i="14"/>
  <c r="L71" i="14"/>
  <c r="L18" i="14"/>
  <c r="L87" i="14"/>
  <c r="L73" i="14"/>
  <c r="L7" i="14"/>
  <c r="M162" i="14" s="1"/>
  <c r="G324" i="14" s="1"/>
  <c r="L16" i="14"/>
  <c r="L167" i="14"/>
  <c r="L103" i="14"/>
  <c r="L41" i="14"/>
  <c r="L121" i="14"/>
  <c r="L50" i="14"/>
  <c r="L48" i="14"/>
  <c r="L47" i="14"/>
  <c r="L106" i="14"/>
  <c r="L72" i="14"/>
  <c r="L122" i="14"/>
  <c r="L63" i="14"/>
  <c r="L143" i="14"/>
  <c r="L91" i="14"/>
  <c r="L32" i="14"/>
  <c r="L61" i="14"/>
  <c r="L145" i="14"/>
  <c r="L95" i="14"/>
  <c r="L28" i="14"/>
  <c r="L163" i="14"/>
  <c r="F325" i="14" s="1"/>
  <c r="G362" i="14" s="1"/>
  <c r="L80" i="14"/>
  <c r="L108" i="14"/>
  <c r="L51" i="14"/>
  <c r="L66" i="14"/>
  <c r="L42" i="14"/>
  <c r="L117" i="14"/>
  <c r="L37" i="14"/>
  <c r="L97" i="14"/>
  <c r="L13" i="14"/>
  <c r="L119" i="14"/>
  <c r="L39" i="14"/>
  <c r="L62" i="14"/>
  <c r="L68" i="14"/>
  <c r="L148" i="14"/>
  <c r="L67" i="14"/>
  <c r="D24" i="16"/>
  <c r="E22" i="16"/>
  <c r="O67" i="15"/>
  <c r="I287" i="14"/>
  <c r="J287" i="14"/>
  <c r="H285" i="14"/>
  <c r="F285" i="14"/>
  <c r="F290" i="14" s="1"/>
  <c r="G285" i="14"/>
  <c r="J294" i="14"/>
  <c r="H294" i="14"/>
  <c r="I294" i="14"/>
  <c r="I303" i="14"/>
  <c r="H303" i="14"/>
  <c r="I373" i="14"/>
  <c r="J373" i="14"/>
  <c r="E30" i="21" l="1"/>
  <c r="E382" i="21"/>
  <c r="H372" i="14"/>
  <c r="J370" i="14"/>
  <c r="G371" i="14"/>
  <c r="J372" i="14"/>
  <c r="G331" i="14"/>
  <c r="G335" i="14" s="1"/>
  <c r="I370" i="14"/>
  <c r="I375" i="14" s="1"/>
  <c r="J371" i="14"/>
  <c r="J375" i="14" s="1"/>
  <c r="G370" i="14"/>
  <c r="H371" i="14"/>
  <c r="F221" i="14"/>
  <c r="H221" i="14"/>
  <c r="H332" i="14"/>
  <c r="H335" i="14" s="1"/>
  <c r="M72" i="14"/>
  <c r="G301" i="14"/>
  <c r="I310" i="14"/>
  <c r="F330" i="14"/>
  <c r="F335" i="14" s="1"/>
  <c r="O34" i="15"/>
  <c r="I295" i="14"/>
  <c r="E300" i="14"/>
  <c r="E306" i="14" s="1"/>
  <c r="G62" i="17"/>
  <c r="H62" i="17" s="1"/>
  <c r="I62" i="17" s="1"/>
  <c r="O53" i="27"/>
  <c r="G361" i="14"/>
  <c r="I207" i="14"/>
  <c r="G286" i="14"/>
  <c r="H220" i="14"/>
  <c r="C93" i="13"/>
  <c r="O57" i="27"/>
  <c r="J288" i="14"/>
  <c r="G89" i="17"/>
  <c r="G95" i="17" s="1"/>
  <c r="G98" i="17" s="1"/>
  <c r="G160" i="17" s="1"/>
  <c r="F300" i="14"/>
  <c r="I32" i="15"/>
  <c r="J310" i="14"/>
  <c r="F69" i="17"/>
  <c r="K17" i="15"/>
  <c r="E322" i="14"/>
  <c r="E337" i="14" s="1"/>
  <c r="E343" i="14" s="1"/>
  <c r="F22" i="15"/>
  <c r="K15" i="15"/>
  <c r="E389" i="12"/>
  <c r="G300" i="14"/>
  <c r="G310" i="14"/>
  <c r="K112" i="14"/>
  <c r="E135" i="14" s="1"/>
  <c r="G353" i="14"/>
  <c r="K35" i="14"/>
  <c r="E131" i="14" s="1"/>
  <c r="E258" i="14"/>
  <c r="K156" i="14"/>
  <c r="F293" i="14"/>
  <c r="F298" i="14" s="1"/>
  <c r="I300" i="14"/>
  <c r="O34" i="27"/>
  <c r="N122" i="18"/>
  <c r="F205" i="14"/>
  <c r="F369" i="14"/>
  <c r="F375" i="14" s="1"/>
  <c r="I369" i="14"/>
  <c r="G369" i="14"/>
  <c r="E369" i="14"/>
  <c r="E375" i="14" s="1"/>
  <c r="E329" i="14"/>
  <c r="E335" i="14" s="1"/>
  <c r="H369" i="14"/>
  <c r="K168" i="14"/>
  <c r="C28" i="22" s="1"/>
  <c r="E212" i="21"/>
  <c r="E208" i="21"/>
  <c r="E210" i="21"/>
  <c r="E202" i="21"/>
  <c r="E200" i="21"/>
  <c r="E204" i="21"/>
  <c r="E181" i="12"/>
  <c r="E187" i="12" s="1"/>
  <c r="E190" i="21"/>
  <c r="E196" i="21" s="1"/>
  <c r="E165" i="12"/>
  <c r="F174" i="21" s="1"/>
  <c r="E174" i="21"/>
  <c r="E180" i="21" s="1"/>
  <c r="E141" i="12"/>
  <c r="F150" i="21" s="1"/>
  <c r="E150" i="21"/>
  <c r="E152" i="21" s="1"/>
  <c r="E133" i="12"/>
  <c r="F142" i="21" s="1"/>
  <c r="F146" i="21" s="1"/>
  <c r="E142" i="21"/>
  <c r="E125" i="12"/>
  <c r="F134" i="21" s="1"/>
  <c r="E134" i="21"/>
  <c r="E140" i="21" s="1"/>
  <c r="E85" i="12"/>
  <c r="F94" i="21" s="1"/>
  <c r="E94" i="21"/>
  <c r="E69" i="12"/>
  <c r="F78" i="21" s="1"/>
  <c r="F82" i="21" s="1"/>
  <c r="E78" i="21"/>
  <c r="E29" i="12"/>
  <c r="F38" i="21" s="1"/>
  <c r="E38" i="21"/>
  <c r="E40" i="21" s="1"/>
  <c r="D88" i="13"/>
  <c r="E88" i="13" s="1"/>
  <c r="F88" i="13" s="1"/>
  <c r="G88" i="13" s="1"/>
  <c r="H88" i="13" s="1"/>
  <c r="I88" i="13" s="1"/>
  <c r="E189" i="14"/>
  <c r="E212" i="14" s="1"/>
  <c r="E218" i="14" s="1"/>
  <c r="E192" i="14"/>
  <c r="G236" i="14" s="1"/>
  <c r="H609" i="12"/>
  <c r="H612" i="12" s="1"/>
  <c r="G612" i="12"/>
  <c r="G585" i="12"/>
  <c r="F588" i="12"/>
  <c r="H390" i="12"/>
  <c r="I406" i="21" s="1"/>
  <c r="I314" i="14"/>
  <c r="I286" i="14"/>
  <c r="I534" i="21"/>
  <c r="I702" i="21"/>
  <c r="I436" i="21"/>
  <c r="E86" i="17"/>
  <c r="G556" i="21"/>
  <c r="G528" i="21"/>
  <c r="G654" i="21"/>
  <c r="I478" i="21"/>
  <c r="I492" i="21" s="1"/>
  <c r="I506" i="21" s="1"/>
  <c r="I468" i="21"/>
  <c r="I664" i="21"/>
  <c r="I444" i="21"/>
  <c r="I640" i="21"/>
  <c r="G710" i="21"/>
  <c r="E72" i="17"/>
  <c r="F72" i="17" s="1"/>
  <c r="G72" i="17" s="1"/>
  <c r="H72" i="17" s="1"/>
  <c r="I72" i="17" s="1"/>
  <c r="G468" i="21"/>
  <c r="J290" i="14"/>
  <c r="I668" i="21"/>
  <c r="I496" i="21"/>
  <c r="I604" i="21"/>
  <c r="E83" i="17"/>
  <c r="G440" i="21"/>
  <c r="G566" i="21"/>
  <c r="I622" i="21"/>
  <c r="I576" i="21"/>
  <c r="I562" i="21"/>
  <c r="I542" i="21"/>
  <c r="G293" i="14"/>
  <c r="G668" i="21"/>
  <c r="I660" i="21"/>
  <c r="G486" i="21"/>
  <c r="E75" i="17"/>
  <c r="G496" i="21"/>
  <c r="G678" i="21"/>
  <c r="G444" i="21"/>
  <c r="G524" i="21"/>
  <c r="F426" i="21"/>
  <c r="F422" i="21"/>
  <c r="F412" i="21"/>
  <c r="H286" i="14"/>
  <c r="H290" i="14" s="1"/>
  <c r="I594" i="21"/>
  <c r="I608" i="21"/>
  <c r="I710" i="21"/>
  <c r="I548" i="21"/>
  <c r="G664" i="21"/>
  <c r="G552" i="21"/>
  <c r="I688" i="21"/>
  <c r="I482" i="21"/>
  <c r="I422" i="21"/>
  <c r="I538" i="21"/>
  <c r="G454" i="21"/>
  <c r="I566" i="21"/>
  <c r="G608" i="21"/>
  <c r="E66" i="17"/>
  <c r="F66" i="17" s="1"/>
  <c r="G66" i="17" s="1"/>
  <c r="H66" i="17" s="1"/>
  <c r="I66" i="17" s="1"/>
  <c r="G598" i="21"/>
  <c r="G416" i="21"/>
  <c r="G542" i="21"/>
  <c r="H362" i="14"/>
  <c r="I626" i="21"/>
  <c r="I678" i="21"/>
  <c r="I520" i="21"/>
  <c r="I486" i="21"/>
  <c r="G514" i="21"/>
  <c r="G1042" i="21"/>
  <c r="I500" i="21"/>
  <c r="I612" i="21"/>
  <c r="I646" i="21"/>
  <c r="G1046" i="21"/>
  <c r="G538" i="21"/>
  <c r="I528" i="21"/>
  <c r="F362" i="14"/>
  <c r="I524" i="21"/>
  <c r="I650" i="21"/>
  <c r="I454" i="21"/>
  <c r="I632" i="21"/>
  <c r="O33" i="13"/>
  <c r="G622" i="21"/>
  <c r="G682" i="21"/>
  <c r="G626" i="21"/>
  <c r="I514" i="21"/>
  <c r="I682" i="21"/>
  <c r="I584" i="21"/>
  <c r="G472" i="21"/>
  <c r="G640" i="21"/>
  <c r="H737" i="12"/>
  <c r="H740" i="12" s="1"/>
  <c r="G740" i="12"/>
  <c r="H729" i="12"/>
  <c r="H732" i="12" s="1"/>
  <c r="G732" i="12"/>
  <c r="H713" i="12"/>
  <c r="H716" i="12" s="1"/>
  <c r="G716" i="12"/>
  <c r="H705" i="12"/>
  <c r="H708" i="12" s="1"/>
  <c r="G708" i="12"/>
  <c r="H697" i="12"/>
  <c r="H700" i="12" s="1"/>
  <c r="G700" i="12"/>
  <c r="H681" i="12"/>
  <c r="H684" i="12" s="1"/>
  <c r="G684" i="12"/>
  <c r="G660" i="12"/>
  <c r="H657" i="12"/>
  <c r="H660" i="12" s="1"/>
  <c r="H649" i="12"/>
  <c r="H652" i="12" s="1"/>
  <c r="G652" i="12"/>
  <c r="H633" i="12"/>
  <c r="H636" i="12" s="1"/>
  <c r="G636" i="12"/>
  <c r="H601" i="12"/>
  <c r="H604" i="12" s="1"/>
  <c r="G604" i="12"/>
  <c r="G393" i="12"/>
  <c r="F396" i="12"/>
  <c r="H686" i="12"/>
  <c r="H924" i="21"/>
  <c r="G692" i="12"/>
  <c r="H670" i="12"/>
  <c r="H896" i="21"/>
  <c r="G676" i="12"/>
  <c r="H662" i="12"/>
  <c r="H668" i="12" s="1"/>
  <c r="G668" i="12"/>
  <c r="H638" i="12"/>
  <c r="H840" i="21"/>
  <c r="G644" i="12"/>
  <c r="H622" i="12"/>
  <c r="H812" i="21"/>
  <c r="G628" i="12"/>
  <c r="G590" i="12"/>
  <c r="G756" i="21"/>
  <c r="F596" i="12"/>
  <c r="E77" i="12"/>
  <c r="F86" i="21" s="1"/>
  <c r="E86" i="21"/>
  <c r="E92" i="21" s="1"/>
  <c r="E53" i="12"/>
  <c r="F62" i="21" s="1"/>
  <c r="E62" i="21"/>
  <c r="E64" i="21" s="1"/>
  <c r="H720" i="21"/>
  <c r="H724" i="21"/>
  <c r="I716" i="21"/>
  <c r="I715" i="21" s="1"/>
  <c r="I720" i="21"/>
  <c r="I724" i="21"/>
  <c r="G724" i="21"/>
  <c r="G720" i="21"/>
  <c r="E724" i="21"/>
  <c r="E720" i="21"/>
  <c r="F724" i="21"/>
  <c r="F720" i="21"/>
  <c r="E738" i="21"/>
  <c r="E734" i="21"/>
  <c r="E733" i="21" s="1"/>
  <c r="D491" i="21"/>
  <c r="D737" i="21"/>
  <c r="H734" i="21"/>
  <c r="H738" i="21"/>
  <c r="I730" i="21"/>
  <c r="I738" i="21"/>
  <c r="I734" i="21"/>
  <c r="G738" i="21"/>
  <c r="G734" i="21"/>
  <c r="F738" i="21"/>
  <c r="F734" i="21"/>
  <c r="H748" i="21"/>
  <c r="H752" i="21"/>
  <c r="I744" i="21"/>
  <c r="I748" i="21"/>
  <c r="I752" i="21"/>
  <c r="G752" i="21"/>
  <c r="G748" i="21"/>
  <c r="E752" i="21"/>
  <c r="E751" i="21" s="1"/>
  <c r="E748" i="21"/>
  <c r="D513" i="21"/>
  <c r="D747" i="21"/>
  <c r="F752" i="21"/>
  <c r="F748" i="21"/>
  <c r="D509" i="21"/>
  <c r="D743" i="21"/>
  <c r="E743" i="21" s="1"/>
  <c r="E766" i="21"/>
  <c r="E762" i="21"/>
  <c r="H762" i="21"/>
  <c r="H758" i="21"/>
  <c r="H766" i="21"/>
  <c r="I758" i="21"/>
  <c r="I766" i="21"/>
  <c r="I762" i="21"/>
  <c r="D541" i="21"/>
  <c r="D765" i="21"/>
  <c r="G766" i="21"/>
  <c r="G762" i="21"/>
  <c r="G758" i="21"/>
  <c r="D537" i="21"/>
  <c r="D761" i="21"/>
  <c r="D533" i="21"/>
  <c r="D757" i="21"/>
  <c r="F766" i="21"/>
  <c r="F762" i="21"/>
  <c r="F758" i="21"/>
  <c r="E780" i="21"/>
  <c r="I772" i="21"/>
  <c r="I780" i="21"/>
  <c r="I776" i="21"/>
  <c r="G780" i="21"/>
  <c r="G776" i="21"/>
  <c r="H776" i="21"/>
  <c r="H780" i="21"/>
  <c r="F780" i="21"/>
  <c r="F776" i="21"/>
  <c r="G436" i="21"/>
  <c r="G450" i="21" s="1"/>
  <c r="G464" i="21" s="1"/>
  <c r="G478" i="21" s="1"/>
  <c r="G772" i="21"/>
  <c r="E794" i="21"/>
  <c r="E790" i="21"/>
  <c r="E789" i="21" s="1"/>
  <c r="D583" i="21"/>
  <c r="D785" i="21"/>
  <c r="H790" i="21"/>
  <c r="H794" i="21"/>
  <c r="I786" i="21"/>
  <c r="I790" i="21"/>
  <c r="I794" i="21"/>
  <c r="G794" i="21"/>
  <c r="G790" i="21"/>
  <c r="F794" i="21"/>
  <c r="F790" i="21"/>
  <c r="D589" i="21"/>
  <c r="D793" i="21"/>
  <c r="E808" i="21"/>
  <c r="E807" i="21" s="1"/>
  <c r="E804" i="21"/>
  <c r="H804" i="21"/>
  <c r="H808" i="21"/>
  <c r="I800" i="21"/>
  <c r="I808" i="21"/>
  <c r="I804" i="21"/>
  <c r="D607" i="21"/>
  <c r="D799" i="21"/>
  <c r="G808" i="21"/>
  <c r="G804" i="21"/>
  <c r="F808" i="21"/>
  <c r="F804" i="21"/>
  <c r="D611" i="21"/>
  <c r="D803" i="21"/>
  <c r="E822" i="21"/>
  <c r="E818" i="21"/>
  <c r="H818" i="21"/>
  <c r="H822" i="21"/>
  <c r="D631" i="21"/>
  <c r="D813" i="21"/>
  <c r="I814" i="21"/>
  <c r="I822" i="21"/>
  <c r="I818" i="21"/>
  <c r="G822" i="21"/>
  <c r="G818" i="21"/>
  <c r="D639" i="21"/>
  <c r="D821" i="21"/>
  <c r="D635" i="21"/>
  <c r="D817" i="21"/>
  <c r="F822" i="21"/>
  <c r="F818" i="21"/>
  <c r="H832" i="21"/>
  <c r="H836" i="21"/>
  <c r="I828" i="21"/>
  <c r="I832" i="21"/>
  <c r="I836" i="21"/>
  <c r="E836" i="21"/>
  <c r="E832" i="21"/>
  <c r="D663" i="21"/>
  <c r="D835" i="21"/>
  <c r="G836" i="21"/>
  <c r="G832" i="21"/>
  <c r="F836" i="21"/>
  <c r="F832" i="21"/>
  <c r="E850" i="21"/>
  <c r="E846" i="21"/>
  <c r="E845" i="21" s="1"/>
  <c r="D681" i="21"/>
  <c r="D841" i="21"/>
  <c r="H846" i="21"/>
  <c r="H850" i="21"/>
  <c r="I842" i="21"/>
  <c r="I850" i="21"/>
  <c r="I846" i="21"/>
  <c r="G850" i="21"/>
  <c r="G846" i="21"/>
  <c r="F850" i="21"/>
  <c r="F846" i="21"/>
  <c r="D687" i="21"/>
  <c r="D849" i="21"/>
  <c r="D705" i="21"/>
  <c r="D855" i="21"/>
  <c r="H860" i="21"/>
  <c r="H864" i="21"/>
  <c r="I856" i="21"/>
  <c r="I860" i="21"/>
  <c r="I864" i="21"/>
  <c r="E864" i="21"/>
  <c r="E863" i="21" s="1"/>
  <c r="E860" i="21"/>
  <c r="G864" i="21"/>
  <c r="G860" i="21"/>
  <c r="D709" i="21"/>
  <c r="D859" i="21"/>
  <c r="F864" i="21"/>
  <c r="F860" i="21"/>
  <c r="H472" i="21"/>
  <c r="H874" i="21"/>
  <c r="H878" i="21"/>
  <c r="I870" i="21"/>
  <c r="I878" i="21"/>
  <c r="I874" i="21"/>
  <c r="G878" i="21"/>
  <c r="G874" i="21"/>
  <c r="F878" i="21"/>
  <c r="F874" i="21"/>
  <c r="E878" i="21"/>
  <c r="E877" i="21" s="1"/>
  <c r="E874" i="21"/>
  <c r="E873" i="21" s="1"/>
  <c r="E892" i="21"/>
  <c r="E891" i="21" s="1"/>
  <c r="E888" i="21"/>
  <c r="E887" i="21" s="1"/>
  <c r="I884" i="21"/>
  <c r="I892" i="21"/>
  <c r="I888" i="21"/>
  <c r="G892" i="21"/>
  <c r="G888" i="21"/>
  <c r="H888" i="21"/>
  <c r="H892" i="21"/>
  <c r="H510" i="21"/>
  <c r="H556" i="21"/>
  <c r="H444" i="21"/>
  <c r="H622" i="21"/>
  <c r="F892" i="21"/>
  <c r="F888" i="21"/>
  <c r="H440" i="21"/>
  <c r="H902" i="21"/>
  <c r="H906" i="21"/>
  <c r="I898" i="21"/>
  <c r="I902" i="21"/>
  <c r="I906" i="21"/>
  <c r="E906" i="21"/>
  <c r="E905" i="21" s="1"/>
  <c r="E902" i="21"/>
  <c r="E901" i="21" s="1"/>
  <c r="G906" i="21"/>
  <c r="G902" i="21"/>
  <c r="F906" i="21"/>
  <c r="F902" i="21"/>
  <c r="H916" i="21"/>
  <c r="H920" i="21"/>
  <c r="I912" i="21"/>
  <c r="I920" i="21"/>
  <c r="I916" i="21"/>
  <c r="E920" i="21"/>
  <c r="E919" i="21" s="1"/>
  <c r="E916" i="21"/>
  <c r="E915" i="21" s="1"/>
  <c r="G920" i="21"/>
  <c r="G916" i="21"/>
  <c r="F920" i="21"/>
  <c r="F916" i="21"/>
  <c r="E934" i="21"/>
  <c r="E933" i="21" s="1"/>
  <c r="E930" i="21"/>
  <c r="E929" i="21" s="1"/>
  <c r="H930" i="21"/>
  <c r="H934" i="21"/>
  <c r="I926" i="21"/>
  <c r="I930" i="21"/>
  <c r="I934" i="21"/>
  <c r="G934" i="21"/>
  <c r="G930" i="21"/>
  <c r="F934" i="21"/>
  <c r="F930" i="21"/>
  <c r="E948" i="21"/>
  <c r="E947" i="21" s="1"/>
  <c r="E944" i="21"/>
  <c r="E943" i="21" s="1"/>
  <c r="H944" i="21"/>
  <c r="H948" i="21"/>
  <c r="I940" i="21"/>
  <c r="I948" i="21"/>
  <c r="I944" i="21"/>
  <c r="G948" i="21"/>
  <c r="G944" i="21"/>
  <c r="F948" i="21"/>
  <c r="F944" i="21"/>
  <c r="H668" i="21"/>
  <c r="H958" i="21"/>
  <c r="H962" i="21"/>
  <c r="I954" i="21"/>
  <c r="I958" i="21"/>
  <c r="I962" i="21"/>
  <c r="G962" i="21"/>
  <c r="G958" i="21"/>
  <c r="E962" i="21"/>
  <c r="E961" i="21" s="1"/>
  <c r="E958" i="21"/>
  <c r="E957" i="21" s="1"/>
  <c r="F962" i="21"/>
  <c r="F958" i="21"/>
  <c r="H496" i="21"/>
  <c r="H524" i="21"/>
  <c r="H422" i="21"/>
  <c r="H692" i="21"/>
  <c r="E976" i="21"/>
  <c r="E975" i="21" s="1"/>
  <c r="E972" i="21"/>
  <c r="E971" i="21" s="1"/>
  <c r="H972" i="21"/>
  <c r="H976" i="21"/>
  <c r="H412" i="21"/>
  <c r="H706" i="21"/>
  <c r="H1042" i="21"/>
  <c r="H570" i="21"/>
  <c r="H500" i="21"/>
  <c r="H696" i="21"/>
  <c r="H538" i="21"/>
  <c r="H454" i="21"/>
  <c r="H682" i="21"/>
  <c r="H598" i="21"/>
  <c r="H584" i="21"/>
  <c r="H650" i="21"/>
  <c r="H608" i="21"/>
  <c r="I968" i="21"/>
  <c r="I976" i="21"/>
  <c r="I972" i="21"/>
  <c r="H416" i="21"/>
  <c r="H458" i="21"/>
  <c r="H552" i="21"/>
  <c r="H482" i="21"/>
  <c r="G976" i="21"/>
  <c r="G972" i="21"/>
  <c r="H542" i="21"/>
  <c r="H640" i="21"/>
  <c r="H580" i="21"/>
  <c r="H594" i="21"/>
  <c r="H664" i="21"/>
  <c r="H514" i="21"/>
  <c r="H430" i="21"/>
  <c r="H1046" i="21"/>
  <c r="I412" i="21"/>
  <c r="I416" i="21"/>
  <c r="H566" i="21"/>
  <c r="H626" i="21"/>
  <c r="H654" i="21"/>
  <c r="F976" i="21"/>
  <c r="F972" i="21"/>
  <c r="H636" i="21"/>
  <c r="H486" i="21"/>
  <c r="H612" i="21"/>
  <c r="H528" i="21"/>
  <c r="H468" i="21"/>
  <c r="H678" i="21"/>
  <c r="H986" i="21"/>
  <c r="H990" i="21"/>
  <c r="I982" i="21"/>
  <c r="I986" i="21"/>
  <c r="I990" i="21"/>
  <c r="G990" i="21"/>
  <c r="G986" i="21"/>
  <c r="E990" i="21"/>
  <c r="E989" i="21" s="1"/>
  <c r="E986" i="21"/>
  <c r="E985" i="21" s="1"/>
  <c r="F990" i="21"/>
  <c r="F986" i="21"/>
  <c r="E1004" i="21"/>
  <c r="E1003" i="21" s="1"/>
  <c r="E1000" i="21"/>
  <c r="E999" i="21" s="1"/>
  <c r="E710" i="21"/>
  <c r="H1000" i="21"/>
  <c r="H1004" i="21"/>
  <c r="I996" i="21"/>
  <c r="I1004" i="21"/>
  <c r="I1000" i="21"/>
  <c r="G1004" i="21"/>
  <c r="G1000" i="21"/>
  <c r="E706" i="21"/>
  <c r="E668" i="21"/>
  <c r="F1004" i="21"/>
  <c r="F1000" i="21"/>
  <c r="E514" i="21"/>
  <c r="E513" i="21" s="1"/>
  <c r="E425" i="21"/>
  <c r="E1018" i="21"/>
  <c r="E1017" i="21" s="1"/>
  <c r="E1014" i="21"/>
  <c r="E1013" i="21" s="1"/>
  <c r="H1014" i="21"/>
  <c r="H1018" i="21"/>
  <c r="I1010" i="21"/>
  <c r="I1014" i="21"/>
  <c r="I1018" i="21"/>
  <c r="G1018" i="21"/>
  <c r="G1014" i="21"/>
  <c r="F1018" i="21"/>
  <c r="F1014" i="21"/>
  <c r="E1046" i="21"/>
  <c r="E1045" i="21" s="1"/>
  <c r="E584" i="21"/>
  <c r="E622" i="21"/>
  <c r="E1042" i="21"/>
  <c r="E1041" i="21" s="1"/>
  <c r="E552" i="21"/>
  <c r="E551" i="21" s="1"/>
  <c r="E444" i="21"/>
  <c r="E682" i="21"/>
  <c r="E510" i="21"/>
  <c r="E509" i="21" s="1"/>
  <c r="E636" i="21"/>
  <c r="E664" i="21"/>
  <c r="H710" i="21"/>
  <c r="H1028" i="21"/>
  <c r="H1032" i="21"/>
  <c r="E496" i="21"/>
  <c r="E495" i="21" s="1"/>
  <c r="F495" i="21" s="1"/>
  <c r="G495" i="21" s="1"/>
  <c r="E1031" i="21"/>
  <c r="E1028" i="21"/>
  <c r="E1027" i="21" s="1"/>
  <c r="E570" i="21"/>
  <c r="E594" i="21"/>
  <c r="E524" i="21"/>
  <c r="E430" i="21"/>
  <c r="E429" i="21" s="1"/>
  <c r="E566" i="21"/>
  <c r="E650" i="21"/>
  <c r="E649" i="21" s="1"/>
  <c r="I1024" i="21"/>
  <c r="I1038" i="21" s="1"/>
  <c r="I1028" i="21"/>
  <c r="I1032" i="21"/>
  <c r="E598" i="21"/>
  <c r="E597" i="21" s="1"/>
  <c r="E458" i="21"/>
  <c r="E457" i="21" s="1"/>
  <c r="E472" i="21"/>
  <c r="E411" i="21"/>
  <c r="E542" i="21"/>
  <c r="E556" i="21"/>
  <c r="E555" i="21" s="1"/>
  <c r="F555" i="21" s="1"/>
  <c r="G555" i="21" s="1"/>
  <c r="E528" i="21"/>
  <c r="E527" i="21" s="1"/>
  <c r="G692" i="21"/>
  <c r="G1032" i="21"/>
  <c r="G1028" i="21"/>
  <c r="E678" i="21"/>
  <c r="E692" i="21"/>
  <c r="E691" i="21" s="1"/>
  <c r="F691" i="21" s="1"/>
  <c r="E696" i="21"/>
  <c r="E695" i="21" s="1"/>
  <c r="E654" i="21"/>
  <c r="E653" i="21" s="1"/>
  <c r="F653" i="21" s="1"/>
  <c r="G653" i="21" s="1"/>
  <c r="E640" i="21"/>
  <c r="E500" i="21"/>
  <c r="E499" i="21" s="1"/>
  <c r="E486" i="21"/>
  <c r="E612" i="21"/>
  <c r="E611" i="21" s="1"/>
  <c r="E580" i="21"/>
  <c r="E579" i="21" s="1"/>
  <c r="E415" i="21"/>
  <c r="E523" i="21"/>
  <c r="F1032" i="21"/>
  <c r="F1028" i="21"/>
  <c r="E608" i="21"/>
  <c r="E482" i="21"/>
  <c r="E468" i="21"/>
  <c r="E626" i="21"/>
  <c r="E538" i="21"/>
  <c r="E537" i="21" s="1"/>
  <c r="E454" i="21"/>
  <c r="F552" i="21"/>
  <c r="F1042" i="21"/>
  <c r="F454" i="21"/>
  <c r="F458" i="21"/>
  <c r="F468" i="21"/>
  <c r="F482" i="21"/>
  <c r="F524" i="21"/>
  <c r="F440" i="21"/>
  <c r="F696" i="21"/>
  <c r="F612" i="21"/>
  <c r="F668" i="21"/>
  <c r="F710" i="21"/>
  <c r="F500" i="21"/>
  <c r="F416" i="21"/>
  <c r="F636" i="21"/>
  <c r="F566" i="21"/>
  <c r="F598" i="21"/>
  <c r="F678" i="21"/>
  <c r="F472" i="21"/>
  <c r="F1046" i="21"/>
  <c r="F514" i="21"/>
  <c r="F486" i="21"/>
  <c r="F510" i="21"/>
  <c r="F594" i="21"/>
  <c r="F444" i="21"/>
  <c r="F538" i="21"/>
  <c r="F430" i="21"/>
  <c r="F650" i="21"/>
  <c r="F580" i="21"/>
  <c r="F640" i="21"/>
  <c r="F584" i="21"/>
  <c r="E48" i="21"/>
  <c r="E440" i="21"/>
  <c r="E439" i="21" s="1"/>
  <c r="E98" i="21"/>
  <c r="E386" i="21"/>
  <c r="C68" i="13"/>
  <c r="D68" i="13" s="1"/>
  <c r="C29" i="22"/>
  <c r="E275" i="14"/>
  <c r="E281" i="14" s="1"/>
  <c r="F275" i="14"/>
  <c r="E187" i="14"/>
  <c r="G309" i="14"/>
  <c r="G314" i="14" s="1"/>
  <c r="I290" i="14"/>
  <c r="E353" i="14"/>
  <c r="E359" i="14" s="1"/>
  <c r="I70" i="15"/>
  <c r="J309" i="14"/>
  <c r="J314" i="14" s="1"/>
  <c r="G101" i="17"/>
  <c r="G104" i="17" s="1"/>
  <c r="G107" i="17" s="1"/>
  <c r="L71" i="15"/>
  <c r="O38" i="27"/>
  <c r="I296" i="14"/>
  <c r="E257" i="14"/>
  <c r="E267" i="14" s="1"/>
  <c r="E273" i="14" s="1"/>
  <c r="F353" i="14"/>
  <c r="H353" i="14"/>
  <c r="M77" i="14"/>
  <c r="E84" i="17"/>
  <c r="I33" i="15"/>
  <c r="O42" i="27"/>
  <c r="I304" i="14"/>
  <c r="M120" i="14"/>
  <c r="H309" i="14"/>
  <c r="H314" i="14" s="1"/>
  <c r="O55" i="27"/>
  <c r="G69" i="17"/>
  <c r="H69" i="17" s="1"/>
  <c r="I69" i="17" s="1"/>
  <c r="O27" i="27"/>
  <c r="O56" i="27"/>
  <c r="K100" i="14"/>
  <c r="E134" i="14" s="1"/>
  <c r="M29" i="14"/>
  <c r="Q71" i="15"/>
  <c r="F56" i="17"/>
  <c r="G56" i="17" s="1"/>
  <c r="H56" i="17" s="1"/>
  <c r="I56" i="17" s="1"/>
  <c r="O31" i="27"/>
  <c r="E34" i="21"/>
  <c r="M63" i="14"/>
  <c r="O47" i="27"/>
  <c r="Q68" i="15"/>
  <c r="T68" i="15" s="1"/>
  <c r="U68" i="15" s="1"/>
  <c r="F309" i="14"/>
  <c r="F314" i="14" s="1"/>
  <c r="M47" i="14"/>
  <c r="O28" i="27"/>
  <c r="C11" i="27"/>
  <c r="C12" i="27" s="1"/>
  <c r="I333" i="14"/>
  <c r="I335" i="14" s="1"/>
  <c r="G221" i="14"/>
  <c r="D162" i="21"/>
  <c r="D160" i="21"/>
  <c r="D27" i="12"/>
  <c r="D80" i="21"/>
  <c r="O26" i="27"/>
  <c r="K61" i="27"/>
  <c r="D34" i="21"/>
  <c r="D98" i="21"/>
  <c r="D100" i="21"/>
  <c r="D40" i="21"/>
  <c r="D154" i="21"/>
  <c r="D116" i="21"/>
  <c r="D36" i="21"/>
  <c r="D168" i="21"/>
  <c r="D114" i="21"/>
  <c r="D115" i="12"/>
  <c r="D59" i="12"/>
  <c r="E56" i="21"/>
  <c r="E130" i="21"/>
  <c r="E157" i="12"/>
  <c r="F166" i="21" s="1"/>
  <c r="F170" i="21" s="1"/>
  <c r="D131" i="12"/>
  <c r="D91" i="12"/>
  <c r="D50" i="21"/>
  <c r="F165" i="12"/>
  <c r="D139" i="12"/>
  <c r="E76" i="21"/>
  <c r="D186" i="21"/>
  <c r="D553" i="12"/>
  <c r="E553" i="12" s="1"/>
  <c r="E170" i="21"/>
  <c r="D67" i="12"/>
  <c r="D195" i="12"/>
  <c r="E64" i="12"/>
  <c r="F64" i="12" s="1"/>
  <c r="G64" i="12" s="1"/>
  <c r="D388" i="21"/>
  <c r="D123" i="12"/>
  <c r="D92" i="21"/>
  <c r="E189" i="12"/>
  <c r="F198" i="21" s="1"/>
  <c r="E109" i="12"/>
  <c r="D88" i="21"/>
  <c r="D152" i="21"/>
  <c r="D52" i="21"/>
  <c r="E96" i="21"/>
  <c r="D132" i="21"/>
  <c r="D489" i="12"/>
  <c r="E489" i="12" s="1"/>
  <c r="F489" i="12" s="1"/>
  <c r="G489" i="12" s="1"/>
  <c r="H489" i="12" s="1"/>
  <c r="D75" i="12"/>
  <c r="E160" i="21"/>
  <c r="E164" i="21"/>
  <c r="D130" i="21"/>
  <c r="D753" i="12"/>
  <c r="E753" i="12" s="1"/>
  <c r="F753" i="12" s="1"/>
  <c r="G753" i="12" s="1"/>
  <c r="H753" i="12" s="1"/>
  <c r="D84" i="21"/>
  <c r="D58" i="21"/>
  <c r="E37" i="12"/>
  <c r="D155" i="12"/>
  <c r="E146" i="21"/>
  <c r="D99" i="12"/>
  <c r="E93" i="12"/>
  <c r="D35" i="12"/>
  <c r="D378" i="21"/>
  <c r="D171" i="12"/>
  <c r="D187" i="12"/>
  <c r="F80" i="12"/>
  <c r="G80" i="12" s="1"/>
  <c r="H80" i="12" s="1"/>
  <c r="F128" i="12"/>
  <c r="G128" i="12" s="1"/>
  <c r="E131" i="12"/>
  <c r="E116" i="21"/>
  <c r="E114" i="21"/>
  <c r="E112" i="21"/>
  <c r="D140" i="21"/>
  <c r="E162" i="21"/>
  <c r="E96" i="12"/>
  <c r="F96" i="12" s="1"/>
  <c r="E52" i="21"/>
  <c r="F125" i="12"/>
  <c r="D64" i="21"/>
  <c r="D196" i="21"/>
  <c r="E120" i="21"/>
  <c r="E24" i="12"/>
  <c r="F24" i="12" s="1"/>
  <c r="G24" i="12" s="1"/>
  <c r="H24" i="12" s="1"/>
  <c r="I24" i="12" s="1"/>
  <c r="J24" i="12" s="1"/>
  <c r="K24" i="12" s="1"/>
  <c r="L24" i="12" s="1"/>
  <c r="M24" i="12" s="1"/>
  <c r="N24" i="12" s="1"/>
  <c r="D163" i="12"/>
  <c r="E61" i="12"/>
  <c r="F70" i="21" s="1"/>
  <c r="F74" i="21" s="1"/>
  <c r="D60" i="21"/>
  <c r="D43" i="12"/>
  <c r="E173" i="12"/>
  <c r="F182" i="21" s="1"/>
  <c r="F186" i="21" s="1"/>
  <c r="D194" i="21"/>
  <c r="D376" i="21"/>
  <c r="D179" i="12"/>
  <c r="D68" i="21"/>
  <c r="D136" i="21"/>
  <c r="E117" i="12"/>
  <c r="D184" i="21"/>
  <c r="D44" i="21"/>
  <c r="D401" i="12"/>
  <c r="E401" i="12" s="1"/>
  <c r="F401" i="12" s="1"/>
  <c r="G401" i="12" s="1"/>
  <c r="H401" i="12" s="1"/>
  <c r="E149" i="12"/>
  <c r="D147" i="12"/>
  <c r="F77" i="12"/>
  <c r="G86" i="21" s="1"/>
  <c r="D170" i="21"/>
  <c r="E21" i="12"/>
  <c r="F30" i="21" s="1"/>
  <c r="H32" i="18"/>
  <c r="I32" i="18" s="1"/>
  <c r="P47" i="17"/>
  <c r="E81" i="17"/>
  <c r="I355" i="14"/>
  <c r="H355" i="14"/>
  <c r="G17" i="16"/>
  <c r="F17" i="16"/>
  <c r="O67" i="27"/>
  <c r="F152" i="12"/>
  <c r="F119" i="21"/>
  <c r="D176" i="21"/>
  <c r="D178" i="21"/>
  <c r="D180" i="21"/>
  <c r="H16" i="16"/>
  <c r="I16" i="16" s="1"/>
  <c r="M62" i="14"/>
  <c r="M97" i="14"/>
  <c r="M53" i="14"/>
  <c r="M31" i="14"/>
  <c r="M30" i="14"/>
  <c r="M51" i="14"/>
  <c r="M119" i="14"/>
  <c r="M167" i="14"/>
  <c r="K126" i="18"/>
  <c r="K127" i="18"/>
  <c r="M164" i="14"/>
  <c r="E193" i="14"/>
  <c r="G244" i="14" s="1"/>
  <c r="M57" i="14"/>
  <c r="M28" i="14"/>
  <c r="M118" i="14"/>
  <c r="M85" i="14"/>
  <c r="M109" i="14"/>
  <c r="M74" i="14"/>
  <c r="F22" i="16"/>
  <c r="E24" i="16"/>
  <c r="M48" i="14"/>
  <c r="M65" i="14"/>
  <c r="M75" i="14"/>
  <c r="M86" i="14"/>
  <c r="M50" i="14"/>
  <c r="M116" i="14"/>
  <c r="F88" i="12"/>
  <c r="G88" i="12" s="1"/>
  <c r="H88" i="12" s="1"/>
  <c r="I88" i="12" s="1"/>
  <c r="J88" i="12" s="1"/>
  <c r="K88" i="12" s="1"/>
  <c r="L88" i="12" s="1"/>
  <c r="M88" i="12" s="1"/>
  <c r="L69" i="15"/>
  <c r="N69" i="15"/>
  <c r="O69" i="15" s="1"/>
  <c r="F301" i="14"/>
  <c r="F306" i="14" s="1"/>
  <c r="J301" i="14"/>
  <c r="I301" i="14"/>
  <c r="G171" i="21"/>
  <c r="H171" i="21" s="1"/>
  <c r="I171" i="21" s="1"/>
  <c r="J171" i="21" s="1"/>
  <c r="K171" i="21" s="1"/>
  <c r="L171" i="21" s="1"/>
  <c r="M171" i="21" s="1"/>
  <c r="N171" i="21" s="1"/>
  <c r="O171" i="21" s="1"/>
  <c r="P171" i="21" s="1"/>
  <c r="D667" i="21" s="1"/>
  <c r="M147" i="14"/>
  <c r="M37" i="14"/>
  <c r="M103" i="14"/>
  <c r="M163" i="14"/>
  <c r="G325" i="14" s="1"/>
  <c r="M70" i="14"/>
  <c r="M15" i="14"/>
  <c r="E176" i="21"/>
  <c r="E178" i="21"/>
  <c r="J67" i="21"/>
  <c r="K67" i="21" s="1"/>
  <c r="L67" i="21" s="1"/>
  <c r="M67" i="21" s="1"/>
  <c r="N67" i="21" s="1"/>
  <c r="O67" i="21" s="1"/>
  <c r="P67" i="21" s="1"/>
  <c r="M108" i="14"/>
  <c r="M69" i="14"/>
  <c r="M32" i="14"/>
  <c r="M94" i="14"/>
  <c r="M105" i="14"/>
  <c r="M39" i="14"/>
  <c r="M76" i="14"/>
  <c r="M83" i="14"/>
  <c r="M93" i="14"/>
  <c r="M98" i="14"/>
  <c r="M90" i="14"/>
  <c r="M73" i="14"/>
  <c r="M18" i="14"/>
  <c r="M142" i="14"/>
  <c r="M91" i="14"/>
  <c r="M161" i="14"/>
  <c r="M104" i="14"/>
  <c r="M40" i="14"/>
  <c r="M154" i="14"/>
  <c r="M165" i="14"/>
  <c r="M68" i="14"/>
  <c r="M84" i="14"/>
  <c r="M38" i="14"/>
  <c r="M22" i="14"/>
  <c r="M150" i="14"/>
  <c r="M166" i="14"/>
  <c r="M102" i="14"/>
  <c r="M49" i="14"/>
  <c r="M106" i="14"/>
  <c r="M95" i="14"/>
  <c r="M80" i="14"/>
  <c r="M44" i="14"/>
  <c r="M20" i="14"/>
  <c r="M152" i="14"/>
  <c r="M16" i="14"/>
  <c r="M55" i="14"/>
  <c r="M64" i="14"/>
  <c r="M34" i="14"/>
  <c r="M107" i="14"/>
  <c r="M66" i="14"/>
  <c r="M61" i="14"/>
  <c r="M149" i="14"/>
  <c r="M13" i="14"/>
  <c r="M145" i="14"/>
  <c r="M60" i="14"/>
  <c r="M45" i="14"/>
  <c r="M79" i="14"/>
  <c r="M54" i="14"/>
  <c r="M21" i="14"/>
  <c r="M110" i="14"/>
  <c r="M92" i="14"/>
  <c r="M146" i="14"/>
  <c r="M42" i="14"/>
  <c r="M111" i="14"/>
  <c r="M67" i="14"/>
  <c r="M151" i="14"/>
  <c r="M19" i="14"/>
  <c r="M27" i="14"/>
  <c r="M89" i="14"/>
  <c r="M88" i="14"/>
  <c r="M153" i="14"/>
  <c r="M25" i="14"/>
  <c r="M115" i="14"/>
  <c r="M78" i="14"/>
  <c r="M87" i="14"/>
  <c r="M155" i="14"/>
  <c r="M14" i="14"/>
  <c r="M99" i="14"/>
  <c r="M7" i="14"/>
  <c r="M71" i="14"/>
  <c r="M144" i="14"/>
  <c r="M56" i="14"/>
  <c r="M52" i="14"/>
  <c r="M33" i="14"/>
  <c r="M160" i="14"/>
  <c r="M96" i="14"/>
  <c r="M143" i="14"/>
  <c r="M122" i="14"/>
  <c r="M17" i="14"/>
  <c r="M41" i="14"/>
  <c r="D122" i="21"/>
  <c r="D120" i="21"/>
  <c r="D124" i="21"/>
  <c r="M148" i="14"/>
  <c r="M43" i="14"/>
  <c r="M117" i="14"/>
  <c r="M26" i="14"/>
  <c r="M121" i="14"/>
  <c r="M46" i="14"/>
  <c r="M114" i="14"/>
  <c r="J57" i="21"/>
  <c r="L16" i="15"/>
  <c r="G32" i="12"/>
  <c r="M126" i="18"/>
  <c r="M127" i="18"/>
  <c r="O51" i="27"/>
  <c r="F49" i="21"/>
  <c r="G49" i="21" s="1"/>
  <c r="E50" i="21"/>
  <c r="F86" i="17"/>
  <c r="F84" i="17" s="1"/>
  <c r="G84" i="17" s="1"/>
  <c r="F83" i="17"/>
  <c r="F80" i="17"/>
  <c r="I293" i="14"/>
  <c r="I298" i="14" s="1"/>
  <c r="H293" i="14"/>
  <c r="H298" i="14" s="1"/>
  <c r="G104" i="12"/>
  <c r="D449" i="12"/>
  <c r="E449" i="12" s="1"/>
  <c r="F449" i="12" s="1"/>
  <c r="G449" i="12" s="1"/>
  <c r="H449" i="12" s="1"/>
  <c r="D521" i="12"/>
  <c r="E521" i="12" s="1"/>
  <c r="F521" i="12" s="1"/>
  <c r="G521" i="12" s="1"/>
  <c r="H521" i="12" s="1"/>
  <c r="F167" i="21"/>
  <c r="G167" i="21" s="1"/>
  <c r="H167" i="21" s="1"/>
  <c r="I167" i="21" s="1"/>
  <c r="J167" i="21" s="1"/>
  <c r="K167" i="21" s="1"/>
  <c r="L167" i="21" s="1"/>
  <c r="M167" i="21" s="1"/>
  <c r="N167" i="21" s="1"/>
  <c r="O167" i="21" s="1"/>
  <c r="P167" i="21" s="1"/>
  <c r="N137" i="18"/>
  <c r="N136" i="18"/>
  <c r="I86" i="17"/>
  <c r="I83" i="17"/>
  <c r="I80" i="17"/>
  <c r="H80" i="17"/>
  <c r="H83" i="17"/>
  <c r="H86" i="17"/>
  <c r="O58" i="27"/>
  <c r="O32" i="27"/>
  <c r="N52" i="15"/>
  <c r="L52" i="15"/>
  <c r="J59" i="21"/>
  <c r="J60" i="21" s="1"/>
  <c r="I60" i="21"/>
  <c r="I18" i="15"/>
  <c r="K18" i="15"/>
  <c r="L83" i="14"/>
  <c r="L116" i="14"/>
  <c r="L162" i="14"/>
  <c r="F324" i="14" s="1"/>
  <c r="L64" i="14"/>
  <c r="L69" i="14"/>
  <c r="L53" i="14"/>
  <c r="L90" i="14"/>
  <c r="L49" i="14"/>
  <c r="L161" i="14"/>
  <c r="L56" i="14"/>
  <c r="L20" i="14"/>
  <c r="L33" i="14"/>
  <c r="L150" i="14"/>
  <c r="L55" i="14"/>
  <c r="L146" i="14"/>
  <c r="L70" i="14"/>
  <c r="L118" i="14"/>
  <c r="L78" i="14"/>
  <c r="L114" i="14"/>
  <c r="L93" i="14"/>
  <c r="L44" i="14"/>
  <c r="L144" i="14"/>
  <c r="L29" i="14"/>
  <c r="L45" i="14"/>
  <c r="L165" i="14"/>
  <c r="L40" i="14"/>
  <c r="L22" i="14"/>
  <c r="L154" i="14"/>
  <c r="L89" i="14"/>
  <c r="L92" i="14"/>
  <c r="L98" i="14"/>
  <c r="L105" i="14"/>
  <c r="L77" i="14"/>
  <c r="L111" i="14"/>
  <c r="L149" i="14"/>
  <c r="L164" i="14"/>
  <c r="L104" i="14"/>
  <c r="L153" i="14"/>
  <c r="L109" i="14"/>
  <c r="L107" i="14"/>
  <c r="L21" i="14"/>
  <c r="L38" i="14"/>
  <c r="L60" i="14"/>
  <c r="L166" i="14"/>
  <c r="L115" i="14"/>
  <c r="L88" i="14"/>
  <c r="L110" i="14"/>
  <c r="L84" i="14"/>
  <c r="E28" i="21"/>
  <c r="N31" i="15"/>
  <c r="L31" i="15"/>
  <c r="F40" i="12"/>
  <c r="G115" i="21"/>
  <c r="G113" i="21"/>
  <c r="F191" i="21"/>
  <c r="E192" i="21"/>
  <c r="D83" i="12"/>
  <c r="I361" i="14"/>
  <c r="E361" i="14"/>
  <c r="E367" i="14" s="1"/>
  <c r="H361" i="14"/>
  <c r="F361" i="14"/>
  <c r="I72" i="15"/>
  <c r="I75" i="15" s="1"/>
  <c r="K72" i="15"/>
  <c r="I53" i="15"/>
  <c r="K53" i="15"/>
  <c r="D72" i="21"/>
  <c r="D74" i="21"/>
  <c r="D76" i="21"/>
  <c r="F168" i="12"/>
  <c r="G168" i="12" s="1"/>
  <c r="H168" i="12" s="1"/>
  <c r="D107" i="12"/>
  <c r="E101" i="12"/>
  <c r="F110" i="21" s="1"/>
  <c r="G294" i="14"/>
  <c r="G298" i="14" s="1"/>
  <c r="J296" i="14"/>
  <c r="J295" i="14"/>
  <c r="G61" i="27"/>
  <c r="D102" i="17"/>
  <c r="O35" i="27"/>
  <c r="O40" i="27"/>
  <c r="E59" i="17"/>
  <c r="F59" i="17" s="1"/>
  <c r="G59" i="17" s="1"/>
  <c r="H59" i="17" s="1"/>
  <c r="I59" i="17" s="1"/>
  <c r="O37" i="27"/>
  <c r="J208" i="14"/>
  <c r="J210" i="14" s="1"/>
  <c r="G206" i="14"/>
  <c r="E204" i="14"/>
  <c r="E210" i="14" s="1"/>
  <c r="F75" i="17"/>
  <c r="G75" i="17" s="1"/>
  <c r="H75" i="17" s="1"/>
  <c r="I75" i="17" s="1"/>
  <c r="O36" i="27"/>
  <c r="E220" i="14"/>
  <c r="E226" i="14" s="1"/>
  <c r="K23" i="14"/>
  <c r="E130" i="14" s="1"/>
  <c r="G205" i="14"/>
  <c r="E100" i="21"/>
  <c r="H207" i="14"/>
  <c r="E101" i="17"/>
  <c r="E78" i="17"/>
  <c r="F78" i="17" s="1"/>
  <c r="G78" i="17" s="1"/>
  <c r="H78" i="17" s="1"/>
  <c r="O45" i="27"/>
  <c r="D23" i="16"/>
  <c r="O52" i="27"/>
  <c r="O49" i="27"/>
  <c r="O41" i="27"/>
  <c r="O50" i="27"/>
  <c r="O30" i="27"/>
  <c r="G76" i="15"/>
  <c r="O49" i="20"/>
  <c r="L51" i="15"/>
  <c r="N51" i="15"/>
  <c r="O45" i="20"/>
  <c r="R68" i="15"/>
  <c r="K19" i="15"/>
  <c r="W68" i="15"/>
  <c r="G23" i="15"/>
  <c r="O70" i="15"/>
  <c r="I51" i="15"/>
  <c r="I56" i="15" s="1"/>
  <c r="G57" i="15"/>
  <c r="Q32" i="15"/>
  <c r="O32" i="15"/>
  <c r="N29" i="15"/>
  <c r="O29" i="15" s="1"/>
  <c r="L32" i="15"/>
  <c r="R67" i="15"/>
  <c r="T67" i="15"/>
  <c r="W67" i="15" s="1"/>
  <c r="L67" i="15"/>
  <c r="F75" i="15"/>
  <c r="N30" i="15"/>
  <c r="L30" i="15"/>
  <c r="G38" i="15"/>
  <c r="I30" i="15"/>
  <c r="I37" i="15" s="1"/>
  <c r="C31" i="13"/>
  <c r="C68" i="27" s="1"/>
  <c r="F37" i="15"/>
  <c r="N48" i="15"/>
  <c r="L48" i="15"/>
  <c r="K123" i="14"/>
  <c r="E136" i="14" s="1"/>
  <c r="I222" i="14"/>
  <c r="K81" i="14"/>
  <c r="E133" i="14" s="1"/>
  <c r="I223" i="14"/>
  <c r="H223" i="14"/>
  <c r="E191" i="14"/>
  <c r="J224" i="14"/>
  <c r="G220" i="14"/>
  <c r="F220" i="14"/>
  <c r="F226" i="14" s="1"/>
  <c r="H222" i="14"/>
  <c r="J222" i="14"/>
  <c r="K58" i="14"/>
  <c r="E132" i="14" s="1"/>
  <c r="F204" i="14"/>
  <c r="F210" i="14" s="1"/>
  <c r="H206" i="14"/>
  <c r="G212" i="14"/>
  <c r="F212" i="14"/>
  <c r="E236" i="14"/>
  <c r="E242" i="14" s="1"/>
  <c r="I208" i="14"/>
  <c r="C67" i="13"/>
  <c r="G177" i="21"/>
  <c r="H177" i="21" s="1"/>
  <c r="I177" i="21" s="1"/>
  <c r="J177" i="21" s="1"/>
  <c r="K177" i="21" s="1"/>
  <c r="L177" i="21" s="1"/>
  <c r="M177" i="21" s="1"/>
  <c r="N177" i="21" s="1"/>
  <c r="O177" i="21" s="1"/>
  <c r="P177" i="21" s="1"/>
  <c r="D677" i="21" s="1"/>
  <c r="F135" i="21"/>
  <c r="G135" i="21" s="1"/>
  <c r="H135" i="21" s="1"/>
  <c r="I135" i="21" s="1"/>
  <c r="J135" i="21" s="1"/>
  <c r="K135" i="21" s="1"/>
  <c r="L135" i="21" s="1"/>
  <c r="M135" i="21" s="1"/>
  <c r="N135" i="21" s="1"/>
  <c r="O135" i="21" s="1"/>
  <c r="P135" i="21" s="1"/>
  <c r="D603" i="21" s="1"/>
  <c r="H23" i="21"/>
  <c r="I23" i="21" s="1"/>
  <c r="J23" i="21" s="1"/>
  <c r="K23" i="21" s="1"/>
  <c r="L23" i="21" s="1"/>
  <c r="M23" i="21" s="1"/>
  <c r="N23" i="21" s="1"/>
  <c r="O23" i="21" s="1"/>
  <c r="P23" i="21" s="1"/>
  <c r="D407" i="21" s="1"/>
  <c r="G290" i="14"/>
  <c r="H236" i="14"/>
  <c r="J236" i="14"/>
  <c r="H65" i="21"/>
  <c r="G56" i="12"/>
  <c r="G139" i="17"/>
  <c r="G142" i="17" s="1"/>
  <c r="G145" i="17" s="1"/>
  <c r="G148" i="17" s="1"/>
  <c r="G151" i="17" s="1"/>
  <c r="G154" i="17" s="1"/>
  <c r="G157" i="17" s="1"/>
  <c r="G110" i="17"/>
  <c r="G113" i="17" s="1"/>
  <c r="G116" i="17" s="1"/>
  <c r="G119" i="17" s="1"/>
  <c r="G122" i="17" s="1"/>
  <c r="G125" i="17" s="1"/>
  <c r="G128" i="17" s="1"/>
  <c r="J20" i="15"/>
  <c r="M14" i="15"/>
  <c r="L50" i="15"/>
  <c r="N50" i="15"/>
  <c r="J57" i="15"/>
  <c r="G355" i="14"/>
  <c r="J355" i="14"/>
  <c r="G136" i="12"/>
  <c r="O39" i="27"/>
  <c r="I61" i="27"/>
  <c r="O48" i="27"/>
  <c r="H61" i="27"/>
  <c r="H147" i="21"/>
  <c r="I147" i="21" s="1"/>
  <c r="J147" i="21" s="1"/>
  <c r="K147" i="21" s="1"/>
  <c r="L147" i="21" s="1"/>
  <c r="M147" i="21" s="1"/>
  <c r="N147" i="21" s="1"/>
  <c r="O147" i="21" s="1"/>
  <c r="P147" i="21" s="1"/>
  <c r="D625" i="21" s="1"/>
  <c r="H145" i="21"/>
  <c r="I145" i="21" s="1"/>
  <c r="J145" i="21" s="1"/>
  <c r="K145" i="21" s="1"/>
  <c r="L145" i="21" s="1"/>
  <c r="M145" i="21" s="1"/>
  <c r="N145" i="21" s="1"/>
  <c r="O145" i="21" s="1"/>
  <c r="P145" i="21" s="1"/>
  <c r="D621" i="21" s="1"/>
  <c r="H159" i="21"/>
  <c r="I159" i="21" s="1"/>
  <c r="G111" i="21"/>
  <c r="B43" i="18"/>
  <c r="N84" i="14"/>
  <c r="N167" i="14"/>
  <c r="N68" i="14"/>
  <c r="N120" i="14"/>
  <c r="N65" i="14"/>
  <c r="N143" i="14"/>
  <c r="N20" i="14"/>
  <c r="N41" i="14"/>
  <c r="N83" i="14"/>
  <c r="N61" i="14"/>
  <c r="N52" i="14"/>
  <c r="N73" i="14"/>
  <c r="N51" i="14"/>
  <c r="N16" i="14"/>
  <c r="N147" i="14"/>
  <c r="N78" i="14"/>
  <c r="N46" i="14"/>
  <c r="N17" i="14"/>
  <c r="N7" i="14"/>
  <c r="N77" i="14"/>
  <c r="N121" i="14"/>
  <c r="N55" i="14"/>
  <c r="N160" i="14"/>
  <c r="N75" i="14"/>
  <c r="N38" i="14"/>
  <c r="N31" i="14"/>
  <c r="N105" i="14"/>
  <c r="N74" i="14"/>
  <c r="N76" i="14"/>
  <c r="N66" i="14"/>
  <c r="N43" i="14"/>
  <c r="N122" i="14"/>
  <c r="N92" i="14"/>
  <c r="N110" i="14"/>
  <c r="N150" i="14"/>
  <c r="N99" i="14"/>
  <c r="N39" i="14"/>
  <c r="N67" i="14"/>
  <c r="N165" i="14"/>
  <c r="N57" i="14"/>
  <c r="N118" i="14"/>
  <c r="N115" i="14"/>
  <c r="N71" i="14"/>
  <c r="N53" i="14"/>
  <c r="N87" i="14"/>
  <c r="N42" i="14"/>
  <c r="N28" i="14"/>
  <c r="N144" i="14"/>
  <c r="N104" i="14"/>
  <c r="N146" i="14"/>
  <c r="N153" i="14"/>
  <c r="N149" i="14"/>
  <c r="N98" i="14"/>
  <c r="N50" i="14"/>
  <c r="N18" i="14"/>
  <c r="N162" i="14"/>
  <c r="H324" i="14" s="1"/>
  <c r="N40" i="14"/>
  <c r="N97" i="14"/>
  <c r="I362" i="14"/>
  <c r="J362" i="14"/>
  <c r="N160" i="12"/>
  <c r="O16" i="15"/>
  <c r="Q16" i="15"/>
  <c r="Z68" i="15"/>
  <c r="X68" i="15"/>
  <c r="I129" i="21"/>
  <c r="F85" i="12"/>
  <c r="G94" i="21" s="1"/>
  <c r="N49" i="15"/>
  <c r="L49" i="15"/>
  <c r="F184" i="12"/>
  <c r="E32" i="21"/>
  <c r="E36" i="21"/>
  <c r="G192" i="12"/>
  <c r="I120" i="12"/>
  <c r="I43" i="21"/>
  <c r="T34" i="15"/>
  <c r="E380" i="21"/>
  <c r="E376" i="21"/>
  <c r="E378" i="21"/>
  <c r="O33" i="27"/>
  <c r="L127" i="18"/>
  <c r="L126" i="18"/>
  <c r="O22" i="27"/>
  <c r="N33" i="15"/>
  <c r="L33" i="15"/>
  <c r="J38" i="15"/>
  <c r="K14" i="15"/>
  <c r="I14" i="15"/>
  <c r="I22" i="15" s="1"/>
  <c r="R70" i="15"/>
  <c r="T70" i="15"/>
  <c r="M61" i="27"/>
  <c r="E384" i="21"/>
  <c r="E388" i="21"/>
  <c r="N33" i="13"/>
  <c r="F101" i="17"/>
  <c r="F89" i="17"/>
  <c r="F95" i="17" s="1"/>
  <c r="G200" i="12"/>
  <c r="O54" i="27"/>
  <c r="G345" i="14"/>
  <c r="E345" i="14"/>
  <c r="E351" i="14" s="1"/>
  <c r="F345" i="14"/>
  <c r="I302" i="14"/>
  <c r="G302" i="14"/>
  <c r="G306" i="14" s="1"/>
  <c r="H302" i="14"/>
  <c r="H306" i="14" s="1"/>
  <c r="J302" i="14"/>
  <c r="J306" i="14" s="1"/>
  <c r="O31" i="15"/>
  <c r="Q31" i="15"/>
  <c r="E197" i="12"/>
  <c r="F206" i="21" s="1"/>
  <c r="D203" i="12"/>
  <c r="L61" i="27"/>
  <c r="O43" i="27"/>
  <c r="O59" i="27"/>
  <c r="E373" i="12"/>
  <c r="F382" i="21" s="1"/>
  <c r="D379" i="12"/>
  <c r="H55" i="21"/>
  <c r="O44" i="27"/>
  <c r="O46" i="27"/>
  <c r="O60" i="27"/>
  <c r="F56" i="15"/>
  <c r="D108" i="21"/>
  <c r="D104" i="21"/>
  <c r="D106" i="21"/>
  <c r="D146" i="21"/>
  <c r="D144" i="21"/>
  <c r="N131" i="18"/>
  <c r="N132" i="18"/>
  <c r="E91" i="12" l="1"/>
  <c r="F148" i="21"/>
  <c r="E171" i="12"/>
  <c r="F141" i="12"/>
  <c r="G150" i="21" s="1"/>
  <c r="E147" i="12"/>
  <c r="E154" i="21"/>
  <c r="F133" i="12"/>
  <c r="G133" i="12" s="1"/>
  <c r="E139" i="12"/>
  <c r="F144" i="21"/>
  <c r="D382" i="12"/>
  <c r="F80" i="21"/>
  <c r="F84" i="21"/>
  <c r="F69" i="12"/>
  <c r="G78" i="21" s="1"/>
  <c r="E75" i="12"/>
  <c r="F53" i="12"/>
  <c r="F29" i="12"/>
  <c r="G38" i="21" s="1"/>
  <c r="E35" i="12"/>
  <c r="I17" i="16"/>
  <c r="F337" i="14"/>
  <c r="H375" i="14"/>
  <c r="G375" i="14"/>
  <c r="F367" i="14"/>
  <c r="I236" i="14"/>
  <c r="F236" i="14"/>
  <c r="G226" i="14"/>
  <c r="I210" i="14"/>
  <c r="I78" i="17"/>
  <c r="N17" i="15"/>
  <c r="L17" i="15"/>
  <c r="F72" i="21"/>
  <c r="H555" i="21"/>
  <c r="I555" i="21" s="1"/>
  <c r="F76" i="21"/>
  <c r="N15" i="15"/>
  <c r="L15" i="15"/>
  <c r="F191" i="14"/>
  <c r="G229" i="14" s="1"/>
  <c r="F389" i="12"/>
  <c r="C71" i="13"/>
  <c r="C70" i="13" s="1"/>
  <c r="E377" i="14"/>
  <c r="E378" i="14" s="1"/>
  <c r="D72" i="13" s="1"/>
  <c r="E194" i="21"/>
  <c r="F172" i="21"/>
  <c r="E156" i="21"/>
  <c r="F210" i="21"/>
  <c r="F212" i="21"/>
  <c r="F208" i="21"/>
  <c r="F204" i="21"/>
  <c r="F200" i="21"/>
  <c r="F202" i="21"/>
  <c r="F181" i="12"/>
  <c r="F187" i="12" s="1"/>
  <c r="F190" i="21"/>
  <c r="F196" i="21" s="1"/>
  <c r="G165" i="12"/>
  <c r="H174" i="21" s="1"/>
  <c r="G174" i="21"/>
  <c r="F154" i="21"/>
  <c r="F158" i="21"/>
  <c r="F164" i="21" s="1"/>
  <c r="G142" i="21"/>
  <c r="G125" i="12"/>
  <c r="G134" i="21"/>
  <c r="E123" i="12"/>
  <c r="F126" i="21"/>
  <c r="E115" i="12"/>
  <c r="F118" i="21"/>
  <c r="F120" i="21" s="1"/>
  <c r="F100" i="21"/>
  <c r="F102" i="21"/>
  <c r="E83" i="12"/>
  <c r="E68" i="21"/>
  <c r="E66" i="21"/>
  <c r="E59" i="12"/>
  <c r="E43" i="12"/>
  <c r="F46" i="21"/>
  <c r="E194" i="14"/>
  <c r="E244" i="14"/>
  <c r="E250" i="14" s="1"/>
  <c r="J244" i="14"/>
  <c r="F244" i="14"/>
  <c r="D17" i="21"/>
  <c r="C18" i="27" s="1"/>
  <c r="E639" i="21"/>
  <c r="G588" i="12"/>
  <c r="H585" i="12"/>
  <c r="H588" i="12" s="1"/>
  <c r="E407" i="21"/>
  <c r="F407" i="21" s="1"/>
  <c r="G407" i="21" s="1"/>
  <c r="H407" i="21" s="1"/>
  <c r="I407" i="21" s="1"/>
  <c r="D410" i="21"/>
  <c r="F81" i="17"/>
  <c r="G81" i="17" s="1"/>
  <c r="H81" i="17" s="1"/>
  <c r="I81" i="17" s="1"/>
  <c r="I306" i="14"/>
  <c r="L123" i="14"/>
  <c r="F136" i="14" s="1"/>
  <c r="M123" i="14"/>
  <c r="G136" i="14" s="1"/>
  <c r="M112" i="14"/>
  <c r="G135" i="14" s="1"/>
  <c r="F193" i="14"/>
  <c r="J245" i="14" s="1"/>
  <c r="E92" i="17"/>
  <c r="E90" i="17" s="1"/>
  <c r="E89" i="17"/>
  <c r="G210" i="14"/>
  <c r="H393" i="12"/>
  <c r="H396" i="12" s="1"/>
  <c r="G396" i="12"/>
  <c r="I924" i="21"/>
  <c r="H692" i="12"/>
  <c r="I896" i="21"/>
  <c r="H676" i="12"/>
  <c r="I840" i="21"/>
  <c r="H644" i="12"/>
  <c r="I812" i="21"/>
  <c r="H628" i="12"/>
  <c r="H590" i="12"/>
  <c r="H756" i="21"/>
  <c r="G596" i="12"/>
  <c r="F59" i="12"/>
  <c r="G62" i="21"/>
  <c r="E667" i="21"/>
  <c r="F667" i="21" s="1"/>
  <c r="E607" i="21"/>
  <c r="F607" i="21" s="1"/>
  <c r="G607" i="21" s="1"/>
  <c r="H607" i="21" s="1"/>
  <c r="I607" i="21" s="1"/>
  <c r="E709" i="21"/>
  <c r="F709" i="21" s="1"/>
  <c r="E705" i="21"/>
  <c r="F705" i="21" s="1"/>
  <c r="G705" i="21" s="1"/>
  <c r="E541" i="21"/>
  <c r="F541" i="21" s="1"/>
  <c r="G541" i="21" s="1"/>
  <c r="H541" i="21" s="1"/>
  <c r="I541" i="21" s="1"/>
  <c r="D485" i="21"/>
  <c r="D729" i="21"/>
  <c r="E729" i="21" s="1"/>
  <c r="E737" i="21"/>
  <c r="F733" i="21"/>
  <c r="E754" i="21"/>
  <c r="F751" i="21"/>
  <c r="F743" i="21"/>
  <c r="E746" i="21"/>
  <c r="E747" i="21"/>
  <c r="G786" i="21"/>
  <c r="E757" i="21"/>
  <c r="F757" i="21" s="1"/>
  <c r="E761" i="21"/>
  <c r="F513" i="21"/>
  <c r="G513" i="21" s="1"/>
  <c r="H513" i="21" s="1"/>
  <c r="I513" i="21" s="1"/>
  <c r="E765" i="21"/>
  <c r="E583" i="21"/>
  <c r="F583" i="21" s="1"/>
  <c r="G583" i="21" s="1"/>
  <c r="H583" i="21" s="1"/>
  <c r="I583" i="21" s="1"/>
  <c r="G800" i="21"/>
  <c r="F436" i="21"/>
  <c r="F786" i="21" s="1"/>
  <c r="F772" i="21"/>
  <c r="H495" i="21"/>
  <c r="I495" i="21" s="1"/>
  <c r="H436" i="21"/>
  <c r="H450" i="21" s="1"/>
  <c r="H772" i="21"/>
  <c r="E435" i="21"/>
  <c r="E771" i="21"/>
  <c r="E793" i="21"/>
  <c r="F789" i="21"/>
  <c r="E792" i="21"/>
  <c r="E635" i="21"/>
  <c r="F635" i="21" s="1"/>
  <c r="G635" i="21" s="1"/>
  <c r="H635" i="21" s="1"/>
  <c r="I635" i="21" s="1"/>
  <c r="G492" i="21"/>
  <c r="G828" i="21"/>
  <c r="G814" i="21"/>
  <c r="E681" i="21"/>
  <c r="F681" i="21" s="1"/>
  <c r="G681" i="21" s="1"/>
  <c r="H681" i="21" s="1"/>
  <c r="I681" i="21" s="1"/>
  <c r="E803" i="21"/>
  <c r="E810" i="21"/>
  <c r="F807" i="21"/>
  <c r="E817" i="21"/>
  <c r="E821" i="21"/>
  <c r="D659" i="21"/>
  <c r="D831" i="21"/>
  <c r="E663" i="21"/>
  <c r="F663" i="21" s="1"/>
  <c r="E835" i="21"/>
  <c r="F1045" i="21"/>
  <c r="E848" i="21"/>
  <c r="F845" i="21"/>
  <c r="E849" i="21"/>
  <c r="E866" i="21"/>
  <c r="F863" i="21"/>
  <c r="E859" i="21"/>
  <c r="F873" i="21"/>
  <c r="F877" i="21"/>
  <c r="F168" i="21"/>
  <c r="F425" i="21"/>
  <c r="G425" i="21" s="1"/>
  <c r="H425" i="21" s="1"/>
  <c r="I425" i="21" s="1"/>
  <c r="F887" i="21"/>
  <c r="E890" i="21"/>
  <c r="E894" i="21"/>
  <c r="F891" i="21"/>
  <c r="E908" i="21"/>
  <c r="F905" i="21"/>
  <c r="F499" i="21"/>
  <c r="G499" i="21" s="1"/>
  <c r="H499" i="21" s="1"/>
  <c r="I499" i="21" s="1"/>
  <c r="H705" i="21"/>
  <c r="I705" i="21" s="1"/>
  <c r="F901" i="21"/>
  <c r="E904" i="21"/>
  <c r="E918" i="21"/>
  <c r="F915" i="21"/>
  <c r="F919" i="21"/>
  <c r="E922" i="21"/>
  <c r="G691" i="21"/>
  <c r="H691" i="21" s="1"/>
  <c r="I691" i="21" s="1"/>
  <c r="F929" i="21"/>
  <c r="E932" i="21"/>
  <c r="E421" i="21"/>
  <c r="F421" i="21" s="1"/>
  <c r="G421" i="21" s="1"/>
  <c r="H421" i="21" s="1"/>
  <c r="I421" i="21" s="1"/>
  <c r="E936" i="21"/>
  <c r="F933" i="21"/>
  <c r="F551" i="21"/>
  <c r="G551" i="21" s="1"/>
  <c r="E946" i="21"/>
  <c r="F943" i="21"/>
  <c r="E950" i="21"/>
  <c r="F947" i="21"/>
  <c r="F457" i="21"/>
  <c r="G457" i="21" s="1"/>
  <c r="H457" i="21" s="1"/>
  <c r="I457" i="21" s="1"/>
  <c r="F957" i="21"/>
  <c r="E960" i="21"/>
  <c r="E964" i="21"/>
  <c r="F961" i="21"/>
  <c r="F579" i="21"/>
  <c r="G579" i="21" s="1"/>
  <c r="H579" i="21" s="1"/>
  <c r="I579" i="21" s="1"/>
  <c r="F649" i="21"/>
  <c r="G649" i="21" s="1"/>
  <c r="H649" i="21" s="1"/>
  <c r="I649" i="21" s="1"/>
  <c r="E978" i="21"/>
  <c r="F975" i="21"/>
  <c r="E974" i="21"/>
  <c r="F971" i="21"/>
  <c r="F415" i="21"/>
  <c r="G415" i="21" s="1"/>
  <c r="F639" i="21"/>
  <c r="G639" i="21" s="1"/>
  <c r="H639" i="21" s="1"/>
  <c r="I639" i="21" s="1"/>
  <c r="E988" i="21"/>
  <c r="F985" i="21"/>
  <c r="F695" i="21"/>
  <c r="G695" i="21" s="1"/>
  <c r="H695" i="21" s="1"/>
  <c r="I695" i="21" s="1"/>
  <c r="E992" i="21"/>
  <c r="F989" i="21"/>
  <c r="F597" i="21"/>
  <c r="G597" i="21" s="1"/>
  <c r="H597" i="21" s="1"/>
  <c r="I597" i="21" s="1"/>
  <c r="E1002" i="21"/>
  <c r="F999" i="21"/>
  <c r="F523" i="21"/>
  <c r="G523" i="21" s="1"/>
  <c r="H523" i="21" s="1"/>
  <c r="I523" i="21" s="1"/>
  <c r="E1006" i="21"/>
  <c r="F1003" i="21"/>
  <c r="F1013" i="21"/>
  <c r="E1016" i="21"/>
  <c r="E1020" i="21"/>
  <c r="F1017" i="21"/>
  <c r="D18" i="21"/>
  <c r="C20" i="27" s="1"/>
  <c r="F537" i="21"/>
  <c r="G537" i="21" s="1"/>
  <c r="H537" i="21" s="1"/>
  <c r="I537" i="21" s="1"/>
  <c r="F1031" i="21"/>
  <c r="D19" i="21"/>
  <c r="C21" i="27" s="1"/>
  <c r="F1041" i="21"/>
  <c r="G1041" i="21" s="1"/>
  <c r="H1041" i="21" s="1"/>
  <c r="I1041" i="21" s="1"/>
  <c r="F429" i="21"/>
  <c r="G429" i="21" s="1"/>
  <c r="H429" i="21" s="1"/>
  <c r="I429" i="21" s="1"/>
  <c r="F1027" i="21"/>
  <c r="K59" i="21"/>
  <c r="K60" i="21" s="1"/>
  <c r="R71" i="15"/>
  <c r="T71" i="15"/>
  <c r="E138" i="14"/>
  <c r="C65" i="13" s="1"/>
  <c r="F92" i="17"/>
  <c r="M81" i="14"/>
  <c r="G133" i="14" s="1"/>
  <c r="G191" i="14"/>
  <c r="G230" i="14" s="1"/>
  <c r="M100" i="14"/>
  <c r="G134" i="14" s="1"/>
  <c r="L156" i="14"/>
  <c r="E29" i="22" s="1"/>
  <c r="F192" i="14"/>
  <c r="H237" i="14" s="1"/>
  <c r="E316" i="14"/>
  <c r="E317" i="14" s="1"/>
  <c r="D69" i="13" s="1"/>
  <c r="D67" i="13" s="1"/>
  <c r="M168" i="14"/>
  <c r="F28" i="22" s="1"/>
  <c r="L81" i="14"/>
  <c r="F133" i="14" s="1"/>
  <c r="L23" i="14"/>
  <c r="F130" i="14" s="1"/>
  <c r="G187" i="14"/>
  <c r="G198" i="14" s="1"/>
  <c r="G202" i="14" s="1"/>
  <c r="G322" i="14"/>
  <c r="E58" i="21"/>
  <c r="E88" i="21"/>
  <c r="E60" i="21"/>
  <c r="E163" i="12"/>
  <c r="F157" i="12"/>
  <c r="E138" i="21"/>
  <c r="E136" i="21"/>
  <c r="E128" i="21"/>
  <c r="E168" i="21"/>
  <c r="E132" i="21"/>
  <c r="E172" i="21"/>
  <c r="E24" i="21"/>
  <c r="E195" i="12"/>
  <c r="F91" i="12"/>
  <c r="C76" i="27"/>
  <c r="E144" i="21"/>
  <c r="E72" i="21"/>
  <c r="E148" i="21"/>
  <c r="E90" i="21"/>
  <c r="E74" i="21"/>
  <c r="F189" i="12"/>
  <c r="F109" i="12"/>
  <c r="G118" i="21" s="1"/>
  <c r="F184" i="21"/>
  <c r="F188" i="21"/>
  <c r="F96" i="21"/>
  <c r="H128" i="12"/>
  <c r="I128" i="12" s="1"/>
  <c r="F98" i="21"/>
  <c r="F152" i="21"/>
  <c r="E99" i="12"/>
  <c r="F93" i="12"/>
  <c r="G102" i="21" s="1"/>
  <c r="F83" i="12"/>
  <c r="F149" i="12"/>
  <c r="E42" i="21"/>
  <c r="E44" i="21"/>
  <c r="F156" i="21"/>
  <c r="E155" i="12"/>
  <c r="F37" i="12"/>
  <c r="C48" i="20"/>
  <c r="G96" i="12"/>
  <c r="E124" i="21"/>
  <c r="E122" i="21"/>
  <c r="E184" i="21"/>
  <c r="E186" i="21"/>
  <c r="E188" i="21"/>
  <c r="F131" i="12"/>
  <c r="E179" i="12"/>
  <c r="F173" i="12"/>
  <c r="G182" i="21" s="1"/>
  <c r="G188" i="21" s="1"/>
  <c r="F61" i="12"/>
  <c r="G70" i="21" s="1"/>
  <c r="G77" i="12"/>
  <c r="H86" i="21" s="1"/>
  <c r="F117" i="12"/>
  <c r="G126" i="21" s="1"/>
  <c r="G132" i="21" s="1"/>
  <c r="E67" i="12"/>
  <c r="C66" i="27"/>
  <c r="F21" i="12"/>
  <c r="G30" i="21" s="1"/>
  <c r="E27" i="12"/>
  <c r="H210" i="14"/>
  <c r="I244" i="14"/>
  <c r="H244" i="14"/>
  <c r="L72" i="15"/>
  <c r="L75" i="15" s="1"/>
  <c r="N72" i="15"/>
  <c r="F60" i="21"/>
  <c r="F58" i="21"/>
  <c r="F56" i="21"/>
  <c r="F257" i="14"/>
  <c r="F268" i="14" s="1"/>
  <c r="F273" i="14" s="1"/>
  <c r="E104" i="17"/>
  <c r="E107" i="17" s="1"/>
  <c r="E99" i="17"/>
  <c r="G191" i="21"/>
  <c r="H191" i="21" s="1"/>
  <c r="I191" i="21" s="1"/>
  <c r="J191" i="21" s="1"/>
  <c r="K191" i="21" s="1"/>
  <c r="L191" i="21" s="1"/>
  <c r="M191" i="21" s="1"/>
  <c r="N191" i="21" s="1"/>
  <c r="O191" i="21" s="1"/>
  <c r="P191" i="21" s="1"/>
  <c r="D701" i="21" s="1"/>
  <c r="L112" i="14"/>
  <c r="F135" i="14" s="1"/>
  <c r="F187" i="14"/>
  <c r="F197" i="14" s="1"/>
  <c r="F202" i="14" s="1"/>
  <c r="G53" i="12"/>
  <c r="M58" i="14"/>
  <c r="G132" i="14" s="1"/>
  <c r="J298" i="14"/>
  <c r="F322" i="14"/>
  <c r="I101" i="17"/>
  <c r="I104" i="17" s="1"/>
  <c r="I107" i="17" s="1"/>
  <c r="I89" i="17"/>
  <c r="I95" i="17" s="1"/>
  <c r="I98" i="17" s="1"/>
  <c r="I160" i="17" s="1"/>
  <c r="I92" i="17"/>
  <c r="H104" i="12"/>
  <c r="M35" i="14"/>
  <c r="G131" i="14" s="1"/>
  <c r="G193" i="14"/>
  <c r="G257" i="14"/>
  <c r="G269" i="14" s="1"/>
  <c r="G273" i="14" s="1"/>
  <c r="M156" i="14"/>
  <c r="F29" i="22" s="1"/>
  <c r="Q69" i="15"/>
  <c r="M76" i="15"/>
  <c r="G119" i="21"/>
  <c r="L58" i="14"/>
  <c r="F132" i="14" s="1"/>
  <c r="H84" i="17"/>
  <c r="I84" i="17" s="1"/>
  <c r="F147" i="12"/>
  <c r="G141" i="12"/>
  <c r="H150" i="21" s="1"/>
  <c r="H113" i="21"/>
  <c r="I113" i="21" s="1"/>
  <c r="J113" i="21" s="1"/>
  <c r="K113" i="21" s="1"/>
  <c r="L113" i="21" s="1"/>
  <c r="M113" i="21" s="1"/>
  <c r="N113" i="21" s="1"/>
  <c r="O113" i="21" s="1"/>
  <c r="P113" i="21" s="1"/>
  <c r="F258" i="14"/>
  <c r="G354" i="14"/>
  <c r="G359" i="14" s="1"/>
  <c r="I354" i="14"/>
  <c r="H354" i="14"/>
  <c r="F354" i="14"/>
  <c r="F359" i="14" s="1"/>
  <c r="N47" i="14"/>
  <c r="N86" i="14"/>
  <c r="N26" i="14"/>
  <c r="N108" i="14"/>
  <c r="N106" i="14"/>
  <c r="N163" i="14"/>
  <c r="H325" i="14" s="1"/>
  <c r="N109" i="14"/>
  <c r="N48" i="14"/>
  <c r="N19" i="14"/>
  <c r="N154" i="14"/>
  <c r="N96" i="14"/>
  <c r="N62" i="14"/>
  <c r="N27" i="14"/>
  <c r="N54" i="14"/>
  <c r="N37" i="14"/>
  <c r="N49" i="14"/>
  <c r="N44" i="14"/>
  <c r="N107" i="14"/>
  <c r="N89" i="14"/>
  <c r="N45" i="14"/>
  <c r="N13" i="14"/>
  <c r="N119" i="14"/>
  <c r="N60" i="14"/>
  <c r="N161" i="14"/>
  <c r="H323" i="14" s="1"/>
  <c r="N91" i="14"/>
  <c r="N15" i="14"/>
  <c r="N93" i="14"/>
  <c r="N114" i="14"/>
  <c r="N79" i="14"/>
  <c r="N95" i="14"/>
  <c r="N32" i="14"/>
  <c r="N72" i="14"/>
  <c r="N94" i="14"/>
  <c r="N117" i="14"/>
  <c r="N85" i="14"/>
  <c r="N22" i="14"/>
  <c r="N151" i="14"/>
  <c r="N21" i="14"/>
  <c r="N90" i="14"/>
  <c r="N14" i="14"/>
  <c r="N25" i="14"/>
  <c r="N148" i="14"/>
  <c r="N116" i="14"/>
  <c r="N30" i="14"/>
  <c r="N88" i="14"/>
  <c r="N145" i="14"/>
  <c r="N29" i="14"/>
  <c r="N64" i="14"/>
  <c r="N164" i="14"/>
  <c r="N152" i="14"/>
  <c r="N34" i="14"/>
  <c r="N80" i="14"/>
  <c r="N33" i="14"/>
  <c r="N56" i="14"/>
  <c r="N166" i="14"/>
  <c r="N111" i="14"/>
  <c r="N103" i="14"/>
  <c r="N69" i="14"/>
  <c r="N142" i="14"/>
  <c r="N102" i="14"/>
  <c r="N70" i="14"/>
  <c r="N155" i="14"/>
  <c r="N63" i="14"/>
  <c r="G258" i="14"/>
  <c r="F171" i="12"/>
  <c r="J76" i="15"/>
  <c r="E26" i="21"/>
  <c r="E23" i="15"/>
  <c r="E23" i="16"/>
  <c r="H115" i="21"/>
  <c r="I115" i="21" s="1"/>
  <c r="J115" i="21" s="1"/>
  <c r="K115" i="21" s="1"/>
  <c r="L115" i="21" s="1"/>
  <c r="M115" i="21" s="1"/>
  <c r="N115" i="21" s="1"/>
  <c r="O115" i="21" s="1"/>
  <c r="P115" i="21" s="1"/>
  <c r="D569" i="21" s="1"/>
  <c r="E569" i="21" s="1"/>
  <c r="F569" i="21" s="1"/>
  <c r="K57" i="21"/>
  <c r="J58" i="21"/>
  <c r="F101" i="12"/>
  <c r="G110" i="21" s="1"/>
  <c r="E107" i="12"/>
  <c r="L168" i="14"/>
  <c r="E28" i="22" s="1"/>
  <c r="L100" i="14"/>
  <c r="F134" i="14" s="1"/>
  <c r="F189" i="14"/>
  <c r="O52" i="15"/>
  <c r="Q52" i="15"/>
  <c r="H101" i="17"/>
  <c r="H104" i="17" s="1"/>
  <c r="H107" i="17" s="1"/>
  <c r="H92" i="17"/>
  <c r="H89" i="17"/>
  <c r="H95" i="17" s="1"/>
  <c r="H98" i="17" s="1"/>
  <c r="H160" i="17" s="1"/>
  <c r="F323" i="14"/>
  <c r="G323" i="14"/>
  <c r="M23" i="14"/>
  <c r="G130" i="14" s="1"/>
  <c r="H64" i="12"/>
  <c r="G189" i="14"/>
  <c r="G192" i="14"/>
  <c r="G238" i="14" s="1"/>
  <c r="L53" i="15"/>
  <c r="L56" i="15" s="1"/>
  <c r="N53" i="15"/>
  <c r="M57" i="15" s="1"/>
  <c r="G40" i="12"/>
  <c r="N18" i="15"/>
  <c r="L18" i="15"/>
  <c r="H363" i="14"/>
  <c r="J363" i="14"/>
  <c r="G363" i="14"/>
  <c r="G367" i="14" s="1"/>
  <c r="I363" i="14"/>
  <c r="H17" i="16"/>
  <c r="G152" i="12"/>
  <c r="E104" i="21"/>
  <c r="E106" i="21"/>
  <c r="E108" i="21"/>
  <c r="E84" i="21"/>
  <c r="E80" i="21"/>
  <c r="E82" i="21"/>
  <c r="L35" i="14"/>
  <c r="F131" i="14" s="1"/>
  <c r="F42" i="21"/>
  <c r="F40" i="21"/>
  <c r="F44" i="21"/>
  <c r="H49" i="21"/>
  <c r="H32" i="12"/>
  <c r="F24" i="16"/>
  <c r="G22" i="16"/>
  <c r="Q29" i="15"/>
  <c r="L19" i="15"/>
  <c r="N19" i="15"/>
  <c r="O51" i="15"/>
  <c r="Q51" i="15"/>
  <c r="L37" i="15"/>
  <c r="T32" i="15"/>
  <c r="R32" i="15"/>
  <c r="U67" i="15"/>
  <c r="O30" i="15"/>
  <c r="Q30" i="15"/>
  <c r="Q48" i="15"/>
  <c r="O48" i="15"/>
  <c r="J229" i="14"/>
  <c r="H226" i="14"/>
  <c r="I226" i="14"/>
  <c r="J226" i="14"/>
  <c r="G228" i="14"/>
  <c r="E234" i="14"/>
  <c r="F228" i="14"/>
  <c r="H228" i="14"/>
  <c r="I228" i="14"/>
  <c r="J120" i="12"/>
  <c r="F92" i="21"/>
  <c r="F88" i="21"/>
  <c r="F90" i="21"/>
  <c r="E621" i="21"/>
  <c r="M20" i="15"/>
  <c r="P14" i="15"/>
  <c r="F527" i="21"/>
  <c r="R16" i="15"/>
  <c r="T16" i="15"/>
  <c r="H111" i="21"/>
  <c r="I111" i="21" s="1"/>
  <c r="J111" i="21" s="1"/>
  <c r="K111" i="21" s="1"/>
  <c r="L111" i="21" s="1"/>
  <c r="M111" i="21" s="1"/>
  <c r="N111" i="21" s="1"/>
  <c r="O111" i="21" s="1"/>
  <c r="P111" i="21" s="1"/>
  <c r="F411" i="21"/>
  <c r="E677" i="21"/>
  <c r="F509" i="21"/>
  <c r="H653" i="21"/>
  <c r="W34" i="15"/>
  <c r="U34" i="15"/>
  <c r="F611" i="21"/>
  <c r="H192" i="12"/>
  <c r="E625" i="21"/>
  <c r="Q33" i="15"/>
  <c r="O33" i="15"/>
  <c r="O37" i="15" s="1"/>
  <c r="M38" i="15"/>
  <c r="G85" i="12"/>
  <c r="H94" i="21" s="1"/>
  <c r="Q50" i="15"/>
  <c r="O50" i="15"/>
  <c r="F98" i="17"/>
  <c r="F99" i="17"/>
  <c r="G99" i="17" s="1"/>
  <c r="F104" i="17"/>
  <c r="F75" i="12"/>
  <c r="G69" i="12"/>
  <c r="H78" i="21" s="1"/>
  <c r="I55" i="21"/>
  <c r="F197" i="12"/>
  <c r="G206" i="21" s="1"/>
  <c r="E203" i="12"/>
  <c r="U70" i="15"/>
  <c r="W70" i="15"/>
  <c r="O108" i="14"/>
  <c r="O22" i="14"/>
  <c r="O72" i="14"/>
  <c r="O107" i="14"/>
  <c r="O76" i="14"/>
  <c r="O94" i="14"/>
  <c r="O30" i="14"/>
  <c r="O53" i="14"/>
  <c r="O146" i="14"/>
  <c r="O91" i="14"/>
  <c r="O164" i="14"/>
  <c r="O167" i="14"/>
  <c r="O55" i="14"/>
  <c r="O75" i="14"/>
  <c r="O18" i="14"/>
  <c r="O110" i="14"/>
  <c r="O87" i="14"/>
  <c r="O106" i="14"/>
  <c r="O153" i="14"/>
  <c r="O79" i="14"/>
  <c r="O122" i="14"/>
  <c r="O21" i="14"/>
  <c r="O77" i="14"/>
  <c r="O54" i="14"/>
  <c r="O83" i="14"/>
  <c r="O48" i="14"/>
  <c r="O154" i="14"/>
  <c r="O13" i="14"/>
  <c r="O120" i="14"/>
  <c r="O20" i="14"/>
  <c r="O29" i="14"/>
  <c r="O90" i="14"/>
  <c r="O42" i="14"/>
  <c r="O115" i="14"/>
  <c r="O118" i="14"/>
  <c r="O151" i="14"/>
  <c r="O103" i="14"/>
  <c r="O50" i="14"/>
  <c r="O32" i="14"/>
  <c r="O26" i="14"/>
  <c r="O109" i="14"/>
  <c r="O152" i="14"/>
  <c r="O70" i="14"/>
  <c r="O19" i="14"/>
  <c r="O38" i="14"/>
  <c r="O15" i="14"/>
  <c r="O149" i="14"/>
  <c r="O39" i="14"/>
  <c r="O119" i="14"/>
  <c r="O60" i="14"/>
  <c r="O99" i="14"/>
  <c r="O98" i="14"/>
  <c r="O163" i="14"/>
  <c r="I325" i="14" s="1"/>
  <c r="O65" i="14"/>
  <c r="O7" i="14"/>
  <c r="O96" i="14"/>
  <c r="O161" i="14"/>
  <c r="O52" i="14"/>
  <c r="O95" i="14"/>
  <c r="O33" i="14"/>
  <c r="O74" i="14"/>
  <c r="O37" i="14"/>
  <c r="O78" i="14"/>
  <c r="O145" i="14"/>
  <c r="O45" i="14"/>
  <c r="O142" i="14"/>
  <c r="O25" i="14"/>
  <c r="O43" i="14"/>
  <c r="O143" i="14"/>
  <c r="O71" i="14"/>
  <c r="O57" i="14"/>
  <c r="O114" i="14"/>
  <c r="O46" i="14"/>
  <c r="O121" i="14"/>
  <c r="O67" i="14"/>
  <c r="O17" i="14"/>
  <c r="O49" i="14"/>
  <c r="O31" i="14"/>
  <c r="O144" i="14"/>
  <c r="O14" i="14"/>
  <c r="O41" i="14"/>
  <c r="O40" i="14"/>
  <c r="O47" i="14"/>
  <c r="O34" i="14"/>
  <c r="O155" i="14"/>
  <c r="O85" i="14"/>
  <c r="O162" i="14"/>
  <c r="I324" i="14" s="1"/>
  <c r="O68" i="14"/>
  <c r="O16" i="14"/>
  <c r="O150" i="14"/>
  <c r="O66" i="14"/>
  <c r="O117" i="14"/>
  <c r="O63" i="14"/>
  <c r="O80" i="14"/>
  <c r="O86" i="14"/>
  <c r="O56" i="14"/>
  <c r="O147" i="14"/>
  <c r="O44" i="14"/>
  <c r="O88" i="14"/>
  <c r="O105" i="14"/>
  <c r="O97" i="14"/>
  <c r="O111" i="14"/>
  <c r="O27" i="14"/>
  <c r="O104" i="14"/>
  <c r="O62" i="14"/>
  <c r="O64" i="14"/>
  <c r="O51" i="14"/>
  <c r="O89" i="14"/>
  <c r="O166" i="14"/>
  <c r="O102" i="14"/>
  <c r="O69" i="14"/>
  <c r="O28" i="14"/>
  <c r="O73" i="14"/>
  <c r="O165" i="14"/>
  <c r="O93" i="14"/>
  <c r="O160" i="14"/>
  <c r="O148" i="14"/>
  <c r="O116" i="14"/>
  <c r="O61" i="14"/>
  <c r="O84" i="14"/>
  <c r="O92" i="14"/>
  <c r="B44" i="18"/>
  <c r="F136" i="21"/>
  <c r="F138" i="21"/>
  <c r="F140" i="21"/>
  <c r="E485" i="21"/>
  <c r="H356" i="14"/>
  <c r="I356" i="14"/>
  <c r="J356" i="14"/>
  <c r="F439" i="21"/>
  <c r="R31" i="15"/>
  <c r="T31" i="15"/>
  <c r="H200" i="12"/>
  <c r="N14" i="15"/>
  <c r="J23" i="15"/>
  <c r="L14" i="15"/>
  <c r="C537" i="12"/>
  <c r="D537" i="12" s="1"/>
  <c r="H56" i="12"/>
  <c r="G184" i="12"/>
  <c r="F373" i="12"/>
  <c r="G382" i="21" s="1"/>
  <c r="E379" i="12"/>
  <c r="I80" i="12"/>
  <c r="J43" i="21"/>
  <c r="AC68" i="15"/>
  <c r="AA68" i="15"/>
  <c r="I65" i="21"/>
  <c r="F553" i="12"/>
  <c r="N88" i="12"/>
  <c r="Z67" i="15"/>
  <c r="X67" i="15"/>
  <c r="I168" i="12"/>
  <c r="O49" i="15"/>
  <c r="Q49" i="15"/>
  <c r="J129" i="21"/>
  <c r="J159" i="21"/>
  <c r="H136" i="12"/>
  <c r="G663" i="21"/>
  <c r="F35" i="12" l="1"/>
  <c r="G29" i="12"/>
  <c r="F139" i="12"/>
  <c r="F192" i="21"/>
  <c r="H165" i="12"/>
  <c r="G171" i="12"/>
  <c r="E382" i="12"/>
  <c r="E11" i="27" s="1"/>
  <c r="H229" i="14"/>
  <c r="I229" i="14"/>
  <c r="H359" i="14"/>
  <c r="F229" i="14"/>
  <c r="E252" i="14"/>
  <c r="C20" i="13" s="1"/>
  <c r="D71" i="13"/>
  <c r="D70" i="13" s="1"/>
  <c r="L22" i="15"/>
  <c r="F160" i="21"/>
  <c r="O15" i="15"/>
  <c r="Q15" i="15"/>
  <c r="G184" i="21"/>
  <c r="E68" i="13"/>
  <c r="F68" i="13" s="1"/>
  <c r="G68" i="13" s="1"/>
  <c r="C21" i="13"/>
  <c r="G389" i="12"/>
  <c r="O17" i="15"/>
  <c r="Q17" i="15"/>
  <c r="G186" i="21"/>
  <c r="G212" i="21"/>
  <c r="G210" i="21"/>
  <c r="G208" i="21"/>
  <c r="G189" i="12"/>
  <c r="H198" i="21" s="1"/>
  <c r="G198" i="21"/>
  <c r="F194" i="21"/>
  <c r="G190" i="21"/>
  <c r="G196" i="21" s="1"/>
  <c r="G181" i="12"/>
  <c r="G187" i="12" s="1"/>
  <c r="H171" i="12"/>
  <c r="I174" i="21"/>
  <c r="F163" i="12"/>
  <c r="G166" i="21"/>
  <c r="G168" i="21" s="1"/>
  <c r="G149" i="12"/>
  <c r="H158" i="21" s="1"/>
  <c r="G158" i="21"/>
  <c r="G162" i="21" s="1"/>
  <c r="F162" i="21"/>
  <c r="G139" i="12"/>
  <c r="H142" i="21"/>
  <c r="H125" i="12"/>
  <c r="H134" i="21"/>
  <c r="G131" i="12"/>
  <c r="F132" i="21"/>
  <c r="F128" i="21"/>
  <c r="F130" i="21"/>
  <c r="F43" i="12"/>
  <c r="G46" i="21"/>
  <c r="G35" i="12"/>
  <c r="H38" i="21"/>
  <c r="J237" i="14"/>
  <c r="G237" i="14"/>
  <c r="G242" i="14" s="1"/>
  <c r="I237" i="14"/>
  <c r="C27" i="22"/>
  <c r="E173" i="14"/>
  <c r="F237" i="14"/>
  <c r="F242" i="14" s="1"/>
  <c r="I245" i="14"/>
  <c r="F245" i="14"/>
  <c r="F250" i="14" s="1"/>
  <c r="G138" i="14"/>
  <c r="F27" i="22" s="1"/>
  <c r="G245" i="14"/>
  <c r="H245" i="14"/>
  <c r="G1045" i="21"/>
  <c r="F90" i="17"/>
  <c r="G90" i="17" s="1"/>
  <c r="H90" i="17" s="1"/>
  <c r="I90" i="17" s="1"/>
  <c r="E71" i="13"/>
  <c r="F71" i="13" s="1"/>
  <c r="H258" i="14"/>
  <c r="H189" i="14"/>
  <c r="I215" i="14" s="1"/>
  <c r="H257" i="14"/>
  <c r="H270" i="14" s="1"/>
  <c r="H273" i="14" s="1"/>
  <c r="E95" i="17"/>
  <c r="E87" i="17"/>
  <c r="F87" i="17" s="1"/>
  <c r="G87" i="17" s="1"/>
  <c r="H87" i="17" s="1"/>
  <c r="I87" i="17" s="1"/>
  <c r="H187" i="14"/>
  <c r="H199" i="14" s="1"/>
  <c r="H202" i="14" s="1"/>
  <c r="N23" i="14"/>
  <c r="H130" i="14" s="1"/>
  <c r="F450" i="21"/>
  <c r="F800" i="21" s="1"/>
  <c r="N156" i="14"/>
  <c r="G29" i="22" s="1"/>
  <c r="N123" i="14"/>
  <c r="H136" i="14" s="1"/>
  <c r="H389" i="12"/>
  <c r="I756" i="21"/>
  <c r="H596" i="12"/>
  <c r="G59" i="12"/>
  <c r="H62" i="21"/>
  <c r="H786" i="21"/>
  <c r="F464" i="21"/>
  <c r="G733" i="21"/>
  <c r="F737" i="21"/>
  <c r="F435" i="21"/>
  <c r="G435" i="21" s="1"/>
  <c r="H435" i="21" s="1"/>
  <c r="I435" i="21" s="1"/>
  <c r="E760" i="21"/>
  <c r="F747" i="21"/>
  <c r="E750" i="21"/>
  <c r="G743" i="21"/>
  <c r="F746" i="21"/>
  <c r="F754" i="21"/>
  <c r="G751" i="21"/>
  <c r="E785" i="21"/>
  <c r="F785" i="21" s="1"/>
  <c r="F760" i="21"/>
  <c r="G757" i="21"/>
  <c r="E768" i="21"/>
  <c r="F765" i="21"/>
  <c r="E764" i="21"/>
  <c r="F761" i="21"/>
  <c r="H464" i="21"/>
  <c r="H800" i="21"/>
  <c r="D565" i="21"/>
  <c r="E565" i="21" s="1"/>
  <c r="F565" i="21" s="1"/>
  <c r="G565" i="21" s="1"/>
  <c r="D779" i="21"/>
  <c r="D561" i="21"/>
  <c r="D775" i="21"/>
  <c r="F771" i="21"/>
  <c r="E774" i="21"/>
  <c r="E796" i="21"/>
  <c r="F793" i="21"/>
  <c r="F792" i="21"/>
  <c r="G789" i="21"/>
  <c r="G807" i="21"/>
  <c r="F810" i="21"/>
  <c r="E806" i="21"/>
  <c r="F803" i="21"/>
  <c r="G506" i="21"/>
  <c r="G842" i="21"/>
  <c r="E824" i="21"/>
  <c r="F821" i="21"/>
  <c r="E820" i="21"/>
  <c r="F817" i="21"/>
  <c r="E838" i="21"/>
  <c r="F835" i="21"/>
  <c r="E831" i="21"/>
  <c r="F849" i="21"/>
  <c r="E852" i="21"/>
  <c r="F848" i="21"/>
  <c r="G845" i="21"/>
  <c r="L59" i="21"/>
  <c r="M59" i="21" s="1"/>
  <c r="F866" i="21"/>
  <c r="G863" i="21"/>
  <c r="F859" i="21"/>
  <c r="E862" i="21"/>
  <c r="G873" i="21"/>
  <c r="G877" i="21"/>
  <c r="F894" i="21"/>
  <c r="G891" i="21"/>
  <c r="F890" i="21"/>
  <c r="G887" i="21"/>
  <c r="F904" i="21"/>
  <c r="G901" i="21"/>
  <c r="F908" i="21"/>
  <c r="G905" i="21"/>
  <c r="G919" i="21"/>
  <c r="F922" i="21"/>
  <c r="F918" i="21"/>
  <c r="G915" i="21"/>
  <c r="G929" i="21"/>
  <c r="F932" i="21"/>
  <c r="F936" i="21"/>
  <c r="G933" i="21"/>
  <c r="F950" i="21"/>
  <c r="G947" i="21"/>
  <c r="F946" i="21"/>
  <c r="G943" i="21"/>
  <c r="F960" i="21"/>
  <c r="G957" i="21"/>
  <c r="F964" i="21"/>
  <c r="G961" i="21"/>
  <c r="F978" i="21"/>
  <c r="G975" i="21"/>
  <c r="F974" i="21"/>
  <c r="G971" i="21"/>
  <c r="F992" i="21"/>
  <c r="G989" i="21"/>
  <c r="F988" i="21"/>
  <c r="G985" i="21"/>
  <c r="G1003" i="21"/>
  <c r="F1006" i="21"/>
  <c r="F1002" i="21"/>
  <c r="G999" i="21"/>
  <c r="F1020" i="21"/>
  <c r="G1017" i="21"/>
  <c r="E19" i="21"/>
  <c r="D21" i="27" s="1"/>
  <c r="F1016" i="21"/>
  <c r="G1013" i="21"/>
  <c r="G1027" i="21"/>
  <c r="E17" i="21"/>
  <c r="D18" i="27" s="1"/>
  <c r="G1031" i="21"/>
  <c r="E18" i="21"/>
  <c r="D20" i="27" s="1"/>
  <c r="N81" i="14"/>
  <c r="H133" i="14" s="1"/>
  <c r="I230" i="14"/>
  <c r="N168" i="14"/>
  <c r="G28" i="22" s="1"/>
  <c r="J230" i="14"/>
  <c r="G234" i="14"/>
  <c r="G194" i="14"/>
  <c r="H230" i="14"/>
  <c r="G339" i="14"/>
  <c r="H339" i="14"/>
  <c r="W71" i="15"/>
  <c r="U71" i="15"/>
  <c r="N100" i="14"/>
  <c r="H134" i="14" s="1"/>
  <c r="N112" i="14"/>
  <c r="H135" i="14" s="1"/>
  <c r="H322" i="14"/>
  <c r="I340" i="14" s="1"/>
  <c r="N35" i="14"/>
  <c r="H131" i="14" s="1"/>
  <c r="H191" i="14"/>
  <c r="J231" i="14" s="1"/>
  <c r="H192" i="14"/>
  <c r="I239" i="14" s="1"/>
  <c r="E102" i="17"/>
  <c r="F102" i="17" s="1"/>
  <c r="G102" i="17" s="1"/>
  <c r="H102" i="17" s="1"/>
  <c r="I102" i="17" s="1"/>
  <c r="G157" i="12"/>
  <c r="F195" i="12"/>
  <c r="G93" i="12"/>
  <c r="G152" i="21"/>
  <c r="F155" i="12"/>
  <c r="G109" i="12"/>
  <c r="H118" i="21" s="1"/>
  <c r="F115" i="12"/>
  <c r="F116" i="21"/>
  <c r="F114" i="21"/>
  <c r="F112" i="21"/>
  <c r="F52" i="21"/>
  <c r="F50" i="21"/>
  <c r="F48" i="21"/>
  <c r="G37" i="12"/>
  <c r="G130" i="21"/>
  <c r="F99" i="12"/>
  <c r="G128" i="21"/>
  <c r="G173" i="12"/>
  <c r="H182" i="21" s="1"/>
  <c r="H186" i="21" s="1"/>
  <c r="F179" i="12"/>
  <c r="H77" i="12"/>
  <c r="I86" i="21" s="1"/>
  <c r="F176" i="21"/>
  <c r="F180" i="21"/>
  <c r="F178" i="21"/>
  <c r="G98" i="21"/>
  <c r="G96" i="21"/>
  <c r="G100" i="21"/>
  <c r="F68" i="21"/>
  <c r="F64" i="21"/>
  <c r="F66" i="21"/>
  <c r="G61" i="12"/>
  <c r="H70" i="21" s="1"/>
  <c r="H96" i="12"/>
  <c r="I96" i="12" s="1"/>
  <c r="G83" i="12"/>
  <c r="G82" i="21"/>
  <c r="G80" i="21"/>
  <c r="G84" i="21"/>
  <c r="G120" i="21"/>
  <c r="F123" i="12"/>
  <c r="G117" i="12"/>
  <c r="H126" i="21" s="1"/>
  <c r="H132" i="21" s="1"/>
  <c r="F124" i="21"/>
  <c r="F122" i="21"/>
  <c r="F67" i="12"/>
  <c r="F34" i="21"/>
  <c r="F36" i="21"/>
  <c r="F32" i="21"/>
  <c r="G21" i="12"/>
  <c r="H30" i="21" s="1"/>
  <c r="F27" i="12"/>
  <c r="H214" i="14"/>
  <c r="J238" i="14"/>
  <c r="I214" i="14"/>
  <c r="G214" i="14"/>
  <c r="F138" i="14"/>
  <c r="E27" i="22" s="1"/>
  <c r="H238" i="14"/>
  <c r="I238" i="14"/>
  <c r="F194" i="14"/>
  <c r="I32" i="12"/>
  <c r="N58" i="14"/>
  <c r="H132" i="14" s="1"/>
  <c r="H152" i="12"/>
  <c r="K58" i="21"/>
  <c r="L57" i="21"/>
  <c r="F23" i="15"/>
  <c r="F24" i="15" s="1"/>
  <c r="F25" i="15" s="1"/>
  <c r="H23" i="15"/>
  <c r="E57" i="15"/>
  <c r="G58" i="21"/>
  <c r="G60" i="21"/>
  <c r="G56" i="21"/>
  <c r="H193" i="14"/>
  <c r="H247" i="14" s="1"/>
  <c r="F104" i="21"/>
  <c r="F106" i="21"/>
  <c r="F108" i="21"/>
  <c r="I104" i="12"/>
  <c r="O72" i="15"/>
  <c r="O75" i="15" s="1"/>
  <c r="Q72" i="15"/>
  <c r="H277" i="14"/>
  <c r="G277" i="14"/>
  <c r="I64" i="12"/>
  <c r="G101" i="12"/>
  <c r="H110" i="21" s="1"/>
  <c r="F107" i="12"/>
  <c r="H40" i="12"/>
  <c r="T52" i="15"/>
  <c r="R52" i="15"/>
  <c r="I49" i="21"/>
  <c r="J49" i="21" s="1"/>
  <c r="K49" i="21" s="1"/>
  <c r="L49" i="21" s="1"/>
  <c r="M49" i="21" s="1"/>
  <c r="N49" i="21" s="1"/>
  <c r="O49" i="21" s="1"/>
  <c r="P49" i="21" s="1"/>
  <c r="D453" i="21" s="1"/>
  <c r="E453" i="21" s="1"/>
  <c r="F453" i="21" s="1"/>
  <c r="G453" i="21" s="1"/>
  <c r="H453" i="21" s="1"/>
  <c r="I453" i="21" s="1"/>
  <c r="H29" i="12"/>
  <c r="I38" i="21" s="1"/>
  <c r="O53" i="15"/>
  <c r="O56" i="15" s="1"/>
  <c r="Q53" i="15"/>
  <c r="P57" i="15" s="1"/>
  <c r="F24" i="21"/>
  <c r="F26" i="21"/>
  <c r="F28" i="21"/>
  <c r="I139" i="17"/>
  <c r="I142" i="17" s="1"/>
  <c r="I145" i="17" s="1"/>
  <c r="I148" i="17" s="1"/>
  <c r="I151" i="17" s="1"/>
  <c r="I154" i="17" s="1"/>
  <c r="I157" i="17" s="1"/>
  <c r="I110" i="17"/>
  <c r="I113" i="17" s="1"/>
  <c r="I116" i="17" s="1"/>
  <c r="I119" i="17" s="1"/>
  <c r="I122" i="17" s="1"/>
  <c r="I125" i="17" s="1"/>
  <c r="I128" i="17" s="1"/>
  <c r="H139" i="17"/>
  <c r="H142" i="17" s="1"/>
  <c r="H145" i="17" s="1"/>
  <c r="H148" i="17" s="1"/>
  <c r="H151" i="17" s="1"/>
  <c r="H154" i="17" s="1"/>
  <c r="H157" i="17" s="1"/>
  <c r="H110" i="17"/>
  <c r="H113" i="17" s="1"/>
  <c r="H116" i="17" s="1"/>
  <c r="H119" i="17" s="1"/>
  <c r="H122" i="17" s="1"/>
  <c r="H125" i="17" s="1"/>
  <c r="H128" i="17" s="1"/>
  <c r="H99" i="17"/>
  <c r="I99" i="17" s="1"/>
  <c r="G44" i="21"/>
  <c r="G42" i="21"/>
  <c r="G40" i="21"/>
  <c r="G347" i="14"/>
  <c r="H347" i="14"/>
  <c r="I347" i="14"/>
  <c r="G213" i="14"/>
  <c r="F213" i="14"/>
  <c r="F218" i="14" s="1"/>
  <c r="H213" i="14"/>
  <c r="H364" i="14"/>
  <c r="H367" i="14" s="1"/>
  <c r="I364" i="14"/>
  <c r="J364" i="14"/>
  <c r="G147" i="12"/>
  <c r="H141" i="12"/>
  <c r="I150" i="21" s="1"/>
  <c r="H119" i="21"/>
  <c r="I119" i="21" s="1"/>
  <c r="J119" i="21" s="1"/>
  <c r="K119" i="21" s="1"/>
  <c r="L119" i="21" s="1"/>
  <c r="M119" i="21" s="1"/>
  <c r="N119" i="21" s="1"/>
  <c r="O119" i="21" s="1"/>
  <c r="P119" i="21" s="1"/>
  <c r="D575" i="21" s="1"/>
  <c r="F338" i="14"/>
  <c r="F343" i="14" s="1"/>
  <c r="G338" i="14"/>
  <c r="G276" i="14"/>
  <c r="F276" i="14"/>
  <c r="F281" i="14" s="1"/>
  <c r="F316" i="14" s="1"/>
  <c r="G346" i="14"/>
  <c r="F346" i="14"/>
  <c r="F351" i="14" s="1"/>
  <c r="H346" i="14"/>
  <c r="E139" i="17"/>
  <c r="E110" i="17"/>
  <c r="E105" i="17"/>
  <c r="I246" i="14"/>
  <c r="J246" i="14"/>
  <c r="H246" i="14"/>
  <c r="G246" i="14"/>
  <c r="I258" i="14"/>
  <c r="J279" i="14" s="1"/>
  <c r="J281" i="14" s="1"/>
  <c r="J316" i="14" s="1"/>
  <c r="G24" i="16"/>
  <c r="H22" i="16"/>
  <c r="Q18" i="15"/>
  <c r="O18" i="15"/>
  <c r="E97" i="15"/>
  <c r="E112" i="15" s="1"/>
  <c r="E130" i="15" s="1"/>
  <c r="E147" i="15" s="1"/>
  <c r="F23" i="16"/>
  <c r="G146" i="21"/>
  <c r="G144" i="21"/>
  <c r="G148" i="21"/>
  <c r="R69" i="15"/>
  <c r="T69" i="15"/>
  <c r="P76" i="15"/>
  <c r="H53" i="12"/>
  <c r="T29" i="15"/>
  <c r="R29" i="15"/>
  <c r="P38" i="15"/>
  <c r="O19" i="15"/>
  <c r="Q19" i="15"/>
  <c r="R51" i="15"/>
  <c r="T51" i="15"/>
  <c r="W32" i="15"/>
  <c r="U32" i="15"/>
  <c r="R30" i="15"/>
  <c r="T30" i="15"/>
  <c r="T48" i="15"/>
  <c r="R48" i="15"/>
  <c r="F234" i="14"/>
  <c r="I357" i="14"/>
  <c r="I359" i="14" s="1"/>
  <c r="J357" i="14"/>
  <c r="J359" i="14" s="1"/>
  <c r="P42" i="14"/>
  <c r="P14" i="14"/>
  <c r="P15" i="14"/>
  <c r="P83" i="14"/>
  <c r="P60" i="14"/>
  <c r="P30" i="14"/>
  <c r="P161" i="14"/>
  <c r="P122" i="14"/>
  <c r="P61" i="14"/>
  <c r="P52" i="14"/>
  <c r="P34" i="14"/>
  <c r="P80" i="14"/>
  <c r="P103" i="14"/>
  <c r="P87" i="14"/>
  <c r="P28" i="14"/>
  <c r="P120" i="14"/>
  <c r="P27" i="14"/>
  <c r="P111" i="14"/>
  <c r="P119" i="14"/>
  <c r="P106" i="14"/>
  <c r="P64" i="14"/>
  <c r="P164" i="14"/>
  <c r="P107" i="14"/>
  <c r="P108" i="14"/>
  <c r="P49" i="14"/>
  <c r="P44" i="14"/>
  <c r="P162" i="14"/>
  <c r="J324" i="14" s="1"/>
  <c r="P116" i="14"/>
  <c r="P78" i="14"/>
  <c r="P13" i="14"/>
  <c r="P148" i="14"/>
  <c r="P93" i="14"/>
  <c r="P86" i="14"/>
  <c r="P55" i="14"/>
  <c r="P53" i="14"/>
  <c r="P90" i="14"/>
  <c r="P109" i="14"/>
  <c r="P47" i="14"/>
  <c r="P66" i="14"/>
  <c r="P72" i="14"/>
  <c r="P142" i="14"/>
  <c r="P114" i="14"/>
  <c r="P115" i="14"/>
  <c r="P68" i="14"/>
  <c r="P48" i="14"/>
  <c r="P110" i="14"/>
  <c r="P18" i="14"/>
  <c r="P145" i="14"/>
  <c r="P149" i="14"/>
  <c r="P46" i="14"/>
  <c r="P163" i="14"/>
  <c r="J325" i="14" s="1"/>
  <c r="J358" i="14" s="1"/>
  <c r="P118" i="14"/>
  <c r="P77" i="14"/>
  <c r="P54" i="14"/>
  <c r="P98" i="14"/>
  <c r="P91" i="14"/>
  <c r="P57" i="14"/>
  <c r="P79" i="14"/>
  <c r="P104" i="14"/>
  <c r="P74" i="14"/>
  <c r="P45" i="14"/>
  <c r="P165" i="14"/>
  <c r="P85" i="14"/>
  <c r="P153" i="14"/>
  <c r="P167" i="14"/>
  <c r="P143" i="14"/>
  <c r="P92" i="14"/>
  <c r="P84" i="14"/>
  <c r="P70" i="14"/>
  <c r="P32" i="14"/>
  <c r="P147" i="14"/>
  <c r="P94" i="14"/>
  <c r="P146" i="14"/>
  <c r="P144" i="14"/>
  <c r="P160" i="14"/>
  <c r="P62" i="14"/>
  <c r="P19" i="14"/>
  <c r="P117" i="14"/>
  <c r="P25" i="14"/>
  <c r="P69" i="14"/>
  <c r="P37" i="14"/>
  <c r="P26" i="14"/>
  <c r="P16" i="14"/>
  <c r="P20" i="14"/>
  <c r="P152" i="14"/>
  <c r="P56" i="14"/>
  <c r="P43" i="14"/>
  <c r="P38" i="14"/>
  <c r="P99" i="14"/>
  <c r="P73" i="14"/>
  <c r="P17" i="14"/>
  <c r="P155" i="14"/>
  <c r="P102" i="14"/>
  <c r="P63" i="14"/>
  <c r="P150" i="14"/>
  <c r="P29" i="14"/>
  <c r="P75" i="14"/>
  <c r="P154" i="14"/>
  <c r="P96" i="14"/>
  <c r="P33" i="14"/>
  <c r="P121" i="14"/>
  <c r="P65" i="14"/>
  <c r="P39" i="14"/>
  <c r="P95" i="14"/>
  <c r="P71" i="14"/>
  <c r="P89" i="14"/>
  <c r="P97" i="14"/>
  <c r="P41" i="14"/>
  <c r="P166" i="14"/>
  <c r="P40" i="14"/>
  <c r="P76" i="14"/>
  <c r="P21" i="14"/>
  <c r="P50" i="14"/>
  <c r="P105" i="14"/>
  <c r="P22" i="14"/>
  <c r="P88" i="14"/>
  <c r="P151" i="14"/>
  <c r="P31" i="14"/>
  <c r="P67" i="14"/>
  <c r="P51" i="14"/>
  <c r="I279" i="14"/>
  <c r="H69" i="12"/>
  <c r="I78" i="21" s="1"/>
  <c r="G75" i="12"/>
  <c r="I165" i="12"/>
  <c r="I348" i="14"/>
  <c r="J348" i="14"/>
  <c r="H348" i="14"/>
  <c r="H133" i="12"/>
  <c r="X34" i="15"/>
  <c r="Z34" i="15"/>
  <c r="G411" i="21"/>
  <c r="H565" i="21"/>
  <c r="F621" i="21"/>
  <c r="F485" i="21"/>
  <c r="I187" i="14"/>
  <c r="O112" i="14"/>
  <c r="I135" i="14" s="1"/>
  <c r="I192" i="14"/>
  <c r="O58" i="14"/>
  <c r="I132" i="14" s="1"/>
  <c r="I278" i="14"/>
  <c r="H278" i="14"/>
  <c r="G197" i="12"/>
  <c r="H206" i="21" s="1"/>
  <c r="F203" i="12"/>
  <c r="G553" i="12"/>
  <c r="H415" i="21"/>
  <c r="D65" i="13"/>
  <c r="C64" i="13"/>
  <c r="C73" i="13" s="1"/>
  <c r="I56" i="12"/>
  <c r="E537" i="12"/>
  <c r="G439" i="21"/>
  <c r="I365" i="14"/>
  <c r="I367" i="14" s="1"/>
  <c r="J365" i="14"/>
  <c r="F376" i="21"/>
  <c r="F378" i="21"/>
  <c r="F380" i="21"/>
  <c r="F730" i="21" s="1"/>
  <c r="F729" i="21" s="1"/>
  <c r="F107" i="17"/>
  <c r="U16" i="15"/>
  <c r="W16" i="15"/>
  <c r="H663" i="21"/>
  <c r="K159" i="21"/>
  <c r="L159" i="21" s="1"/>
  <c r="M159" i="21" s="1"/>
  <c r="N159" i="21" s="1"/>
  <c r="O159" i="21" s="1"/>
  <c r="P159" i="21" s="1"/>
  <c r="D645" i="21" s="1"/>
  <c r="K129" i="21"/>
  <c r="J168" i="12"/>
  <c r="AA67" i="15"/>
  <c r="AC67" i="15"/>
  <c r="E177" i="14"/>
  <c r="I200" i="12"/>
  <c r="G709" i="21"/>
  <c r="I323" i="14"/>
  <c r="O168" i="14"/>
  <c r="H28" i="22" s="1"/>
  <c r="O23" i="14"/>
  <c r="I130" i="14" s="1"/>
  <c r="F160" i="17"/>
  <c r="H85" i="12"/>
  <c r="I94" i="21" s="1"/>
  <c r="G91" i="12"/>
  <c r="D48" i="20"/>
  <c r="D11" i="27"/>
  <c r="G667" i="21"/>
  <c r="H189" i="12"/>
  <c r="I198" i="21" s="1"/>
  <c r="B45" i="18"/>
  <c r="O35" i="14"/>
  <c r="I131" i="14" s="1"/>
  <c r="I193" i="14"/>
  <c r="I322" i="14"/>
  <c r="I56" i="21"/>
  <c r="J55" i="21"/>
  <c r="G90" i="21"/>
  <c r="G92" i="21"/>
  <c r="G88" i="21"/>
  <c r="H551" i="21"/>
  <c r="K120" i="12"/>
  <c r="AF68" i="15"/>
  <c r="AD68" i="15"/>
  <c r="H184" i="12"/>
  <c r="Q14" i="15"/>
  <c r="R14" i="15" s="1"/>
  <c r="M23" i="15"/>
  <c r="I257" i="14"/>
  <c r="I271" i="14" s="1"/>
  <c r="I273" i="14" s="1"/>
  <c r="O156" i="14"/>
  <c r="H29" i="22" s="1"/>
  <c r="O81" i="14"/>
  <c r="I133" i="14" s="1"/>
  <c r="X70" i="15"/>
  <c r="Z70" i="15"/>
  <c r="R50" i="15"/>
  <c r="T50" i="15"/>
  <c r="F625" i="21"/>
  <c r="I653" i="21"/>
  <c r="G509" i="21"/>
  <c r="J65" i="21"/>
  <c r="I136" i="12"/>
  <c r="G569" i="21"/>
  <c r="K43" i="21"/>
  <c r="G373" i="12"/>
  <c r="H382" i="21" s="1"/>
  <c r="F379" i="12"/>
  <c r="I191" i="14"/>
  <c r="O100" i="14"/>
  <c r="I134" i="14" s="1"/>
  <c r="I189" i="14"/>
  <c r="G140" i="21"/>
  <c r="G136" i="21"/>
  <c r="G138" i="21"/>
  <c r="G195" i="12"/>
  <c r="G611" i="21"/>
  <c r="G527" i="21"/>
  <c r="O14" i="15"/>
  <c r="J128" i="12"/>
  <c r="R49" i="15"/>
  <c r="T49" i="15"/>
  <c r="C465" i="12"/>
  <c r="D465" i="12" s="1"/>
  <c r="J80" i="12"/>
  <c r="F386" i="21"/>
  <c r="F388" i="21"/>
  <c r="F384" i="21"/>
  <c r="W31" i="15"/>
  <c r="U31" i="15"/>
  <c r="O123" i="14"/>
  <c r="I136" i="14" s="1"/>
  <c r="G72" i="21"/>
  <c r="G74" i="21"/>
  <c r="G76" i="21"/>
  <c r="R33" i="15"/>
  <c r="T33" i="15"/>
  <c r="I192" i="12"/>
  <c r="F677" i="21"/>
  <c r="P20" i="15"/>
  <c r="G170" i="21" l="1"/>
  <c r="H149" i="12"/>
  <c r="I158" i="21" s="1"/>
  <c r="G155" i="12"/>
  <c r="F382" i="12"/>
  <c r="D22" i="22"/>
  <c r="E253" i="14"/>
  <c r="D66" i="13" s="1"/>
  <c r="H281" i="14"/>
  <c r="H316" i="14" s="1"/>
  <c r="T15" i="15"/>
  <c r="R15" i="15"/>
  <c r="R17" i="15"/>
  <c r="T17" i="15"/>
  <c r="H130" i="21"/>
  <c r="O22" i="15"/>
  <c r="H128" i="21"/>
  <c r="R37" i="15"/>
  <c r="H184" i="21"/>
  <c r="H188" i="21"/>
  <c r="G172" i="21"/>
  <c r="H212" i="21"/>
  <c r="H210" i="21"/>
  <c r="H208" i="21"/>
  <c r="I200" i="21"/>
  <c r="I204" i="21"/>
  <c r="I202" i="21"/>
  <c r="G204" i="21"/>
  <c r="G202" i="21"/>
  <c r="G200" i="21"/>
  <c r="H204" i="21"/>
  <c r="H200" i="21"/>
  <c r="H202" i="21"/>
  <c r="H181" i="12"/>
  <c r="H187" i="12" s="1"/>
  <c r="H190" i="21"/>
  <c r="H192" i="21" s="1"/>
  <c r="I171" i="12"/>
  <c r="J174" i="21"/>
  <c r="G163" i="12"/>
  <c r="H166" i="21"/>
  <c r="H139" i="12"/>
  <c r="I142" i="21"/>
  <c r="I134" i="21"/>
  <c r="I125" i="12"/>
  <c r="H131" i="12"/>
  <c r="G99" i="12"/>
  <c r="H102" i="21"/>
  <c r="G43" i="12"/>
  <c r="H46" i="21"/>
  <c r="G250" i="14"/>
  <c r="G173" i="14"/>
  <c r="F99" i="27" s="1"/>
  <c r="J239" i="14"/>
  <c r="H215" i="14"/>
  <c r="H218" i="14" s="1"/>
  <c r="H231" i="14"/>
  <c r="H234" i="14" s="1"/>
  <c r="I231" i="14"/>
  <c r="H194" i="14"/>
  <c r="H239" i="14"/>
  <c r="H242" i="14" s="1"/>
  <c r="L60" i="21"/>
  <c r="H1045" i="21"/>
  <c r="J215" i="14"/>
  <c r="G281" i="14"/>
  <c r="G316" i="14" s="1"/>
  <c r="F252" i="14"/>
  <c r="D20" i="13" s="1"/>
  <c r="H351" i="14"/>
  <c r="G351" i="14"/>
  <c r="H138" i="14"/>
  <c r="G27" i="22" s="1"/>
  <c r="E98" i="17"/>
  <c r="E93" i="17"/>
  <c r="F93" i="17" s="1"/>
  <c r="G93" i="17" s="1"/>
  <c r="H93" i="17" s="1"/>
  <c r="I93" i="17" s="1"/>
  <c r="I53" i="12"/>
  <c r="I59" i="12" s="1"/>
  <c r="I62" i="21"/>
  <c r="F478" i="21"/>
  <c r="F814" i="21"/>
  <c r="E813" i="21"/>
  <c r="E477" i="21"/>
  <c r="G737" i="21"/>
  <c r="H733" i="21"/>
  <c r="G754" i="21"/>
  <c r="H751" i="21"/>
  <c r="H743" i="21"/>
  <c r="G746" i="21"/>
  <c r="E788" i="21"/>
  <c r="F750" i="21"/>
  <c r="G747" i="21"/>
  <c r="F764" i="21"/>
  <c r="G761" i="21"/>
  <c r="F768" i="21"/>
  <c r="G765" i="21"/>
  <c r="E827" i="21"/>
  <c r="E830" i="21" s="1"/>
  <c r="H757" i="21"/>
  <c r="G760" i="21"/>
  <c r="E449" i="21"/>
  <c r="F449" i="21" s="1"/>
  <c r="G449" i="21" s="1"/>
  <c r="H449" i="21" s="1"/>
  <c r="I449" i="21" s="1"/>
  <c r="E799" i="21"/>
  <c r="E775" i="21"/>
  <c r="E779" i="21"/>
  <c r="F774" i="21"/>
  <c r="G771" i="21"/>
  <c r="E841" i="21"/>
  <c r="H478" i="21"/>
  <c r="H814" i="21"/>
  <c r="F796" i="21"/>
  <c r="G793" i="21"/>
  <c r="G792" i="21"/>
  <c r="H789" i="21"/>
  <c r="G785" i="21"/>
  <c r="F788" i="21"/>
  <c r="G810" i="21"/>
  <c r="H807" i="21"/>
  <c r="G520" i="21"/>
  <c r="G856" i="21"/>
  <c r="F806" i="21"/>
  <c r="G803" i="21"/>
  <c r="F824" i="21"/>
  <c r="G821" i="21"/>
  <c r="F820" i="21"/>
  <c r="G817" i="21"/>
  <c r="F831" i="21"/>
  <c r="E834" i="21"/>
  <c r="F838" i="21"/>
  <c r="G835" i="21"/>
  <c r="G849" i="21"/>
  <c r="F852" i="21"/>
  <c r="G848" i="21"/>
  <c r="H845" i="21"/>
  <c r="F862" i="21"/>
  <c r="G859" i="21"/>
  <c r="G866" i="21"/>
  <c r="H863" i="21"/>
  <c r="H873" i="21"/>
  <c r="H877" i="21"/>
  <c r="H887" i="21"/>
  <c r="G890" i="21"/>
  <c r="G894" i="21"/>
  <c r="H891" i="21"/>
  <c r="G908" i="21"/>
  <c r="H905" i="21"/>
  <c r="G904" i="21"/>
  <c r="H901" i="21"/>
  <c r="H915" i="21"/>
  <c r="G918" i="21"/>
  <c r="G922" i="21"/>
  <c r="H919" i="21"/>
  <c r="G936" i="21"/>
  <c r="H933" i="21"/>
  <c r="G932" i="21"/>
  <c r="H929" i="21"/>
  <c r="G946" i="21"/>
  <c r="H943" i="21"/>
  <c r="G950" i="21"/>
  <c r="H947" i="21"/>
  <c r="G960" i="21"/>
  <c r="H957" i="21"/>
  <c r="G964" i="21"/>
  <c r="H961" i="21"/>
  <c r="G974" i="21"/>
  <c r="H971" i="21"/>
  <c r="G978" i="21"/>
  <c r="H975" i="21"/>
  <c r="G988" i="21"/>
  <c r="H985" i="21"/>
  <c r="G992" i="21"/>
  <c r="H989" i="21"/>
  <c r="H999" i="21"/>
  <c r="G1002" i="21"/>
  <c r="G1006" i="21"/>
  <c r="H1003" i="21"/>
  <c r="G1016" i="21"/>
  <c r="H1013" i="21"/>
  <c r="G1020" i="21"/>
  <c r="H1017" i="21"/>
  <c r="F18" i="21"/>
  <c r="E20" i="27" s="1"/>
  <c r="F17" i="21"/>
  <c r="E18" i="27" s="1"/>
  <c r="H1031" i="21"/>
  <c r="H1027" i="21"/>
  <c r="F19" i="21"/>
  <c r="E21" i="27" s="1"/>
  <c r="G218" i="14"/>
  <c r="G343" i="14"/>
  <c r="Z71" i="15"/>
  <c r="X71" i="15"/>
  <c r="F173" i="14"/>
  <c r="E99" i="27" s="1"/>
  <c r="H164" i="21"/>
  <c r="H157" i="12"/>
  <c r="I166" i="21" s="1"/>
  <c r="I168" i="21" s="1"/>
  <c r="H340" i="14"/>
  <c r="H343" i="14" s="1"/>
  <c r="G160" i="21"/>
  <c r="G164" i="21"/>
  <c r="H98" i="21"/>
  <c r="H93" i="12"/>
  <c r="G192" i="21"/>
  <c r="G194" i="21"/>
  <c r="G154" i="21"/>
  <c r="G156" i="21"/>
  <c r="G112" i="21"/>
  <c r="G114" i="21"/>
  <c r="G116" i="21"/>
  <c r="G115" i="12"/>
  <c r="H109" i="12"/>
  <c r="I118" i="21" s="1"/>
  <c r="E48" i="20"/>
  <c r="G52" i="21"/>
  <c r="G48" i="21"/>
  <c r="G50" i="21"/>
  <c r="H37" i="12"/>
  <c r="I46" i="21" s="1"/>
  <c r="G178" i="21"/>
  <c r="G180" i="21"/>
  <c r="G176" i="21"/>
  <c r="H80" i="21"/>
  <c r="H84" i="21"/>
  <c r="H82" i="21"/>
  <c r="H173" i="12"/>
  <c r="I182" i="21" s="1"/>
  <c r="G179" i="12"/>
  <c r="G68" i="21"/>
  <c r="G64" i="21"/>
  <c r="G66" i="21"/>
  <c r="I77" i="12"/>
  <c r="J86" i="21" s="1"/>
  <c r="H83" i="12"/>
  <c r="G124" i="21"/>
  <c r="G122" i="21"/>
  <c r="G67" i="12"/>
  <c r="H61" i="12"/>
  <c r="I70" i="21" s="1"/>
  <c r="H59" i="12"/>
  <c r="H117" i="12"/>
  <c r="I126" i="21" s="1"/>
  <c r="G123" i="12"/>
  <c r="H21" i="12"/>
  <c r="I30" i="21" s="1"/>
  <c r="G27" i="12"/>
  <c r="G32" i="21"/>
  <c r="G36" i="21"/>
  <c r="G34" i="21"/>
  <c r="H250" i="14"/>
  <c r="J247" i="14"/>
  <c r="I247" i="14"/>
  <c r="F317" i="14"/>
  <c r="E69" i="13" s="1"/>
  <c r="E67" i="13" s="1"/>
  <c r="H58" i="21"/>
  <c r="H60" i="21"/>
  <c r="H56" i="21"/>
  <c r="P54" i="21"/>
  <c r="D462" i="21" s="1"/>
  <c r="I40" i="12"/>
  <c r="F57" i="15"/>
  <c r="F58" i="15" s="1"/>
  <c r="F59" i="15" s="1"/>
  <c r="C44" i="20" s="1"/>
  <c r="E76" i="15"/>
  <c r="H162" i="21"/>
  <c r="H160" i="21"/>
  <c r="J367" i="14"/>
  <c r="K23" i="15"/>
  <c r="I23" i="15"/>
  <c r="I24" i="15" s="1"/>
  <c r="I25" i="15" s="1"/>
  <c r="H57" i="15"/>
  <c r="H97" i="15"/>
  <c r="H112" i="15" s="1"/>
  <c r="H130" i="15" s="1"/>
  <c r="H147" i="15" s="1"/>
  <c r="G23" i="16"/>
  <c r="J104" i="12"/>
  <c r="E137" i="17"/>
  <c r="E142" i="17"/>
  <c r="R53" i="15"/>
  <c r="T53" i="15"/>
  <c r="H101" i="12"/>
  <c r="I110" i="21" s="1"/>
  <c r="G107" i="12"/>
  <c r="L58" i="21"/>
  <c r="M57" i="21"/>
  <c r="G28" i="21"/>
  <c r="G26" i="21"/>
  <c r="G24" i="21"/>
  <c r="G104" i="21"/>
  <c r="G106" i="21"/>
  <c r="G108" i="21"/>
  <c r="I152" i="12"/>
  <c r="H155" i="12"/>
  <c r="U69" i="15"/>
  <c r="W69" i="15"/>
  <c r="R18" i="15"/>
  <c r="T18" i="15"/>
  <c r="I141" i="12"/>
  <c r="J150" i="21" s="1"/>
  <c r="H147" i="12"/>
  <c r="I281" i="14"/>
  <c r="I316" i="14" s="1"/>
  <c r="H146" i="21"/>
  <c r="H144" i="21"/>
  <c r="H148" i="21"/>
  <c r="I29" i="12"/>
  <c r="J64" i="12"/>
  <c r="H154" i="21"/>
  <c r="H156" i="21"/>
  <c r="H152" i="21"/>
  <c r="J32" i="12"/>
  <c r="E108" i="17"/>
  <c r="E113" i="17"/>
  <c r="H24" i="16"/>
  <c r="I22" i="16"/>
  <c r="I24" i="16" s="1"/>
  <c r="F377" i="14"/>
  <c r="F378" i="14" s="1"/>
  <c r="E72" i="13" s="1"/>
  <c r="E70" i="13" s="1"/>
  <c r="H42" i="21"/>
  <c r="H40" i="21"/>
  <c r="H44" i="21"/>
  <c r="W52" i="15"/>
  <c r="U52" i="15"/>
  <c r="T72" i="15"/>
  <c r="S76" i="15" s="1"/>
  <c r="R72" i="15"/>
  <c r="R75" i="15" s="1"/>
  <c r="I149" i="12"/>
  <c r="J158" i="21" s="1"/>
  <c r="H35" i="12"/>
  <c r="U29" i="15"/>
  <c r="W29" i="15"/>
  <c r="W51" i="15"/>
  <c r="U51" i="15"/>
  <c r="S38" i="15"/>
  <c r="R19" i="15"/>
  <c r="T19" i="15"/>
  <c r="X32" i="15"/>
  <c r="Z32" i="15"/>
  <c r="W30" i="15"/>
  <c r="U30" i="15"/>
  <c r="W48" i="15"/>
  <c r="U48" i="15"/>
  <c r="J216" i="14"/>
  <c r="I216" i="14"/>
  <c r="I218" i="14" s="1"/>
  <c r="H569" i="21"/>
  <c r="I349" i="14"/>
  <c r="I351" i="14" s="1"/>
  <c r="J349" i="14"/>
  <c r="J351" i="14" s="1"/>
  <c r="K168" i="12"/>
  <c r="J187" i="14"/>
  <c r="P112" i="14"/>
  <c r="J135" i="14" s="1"/>
  <c r="D135" i="14" s="1"/>
  <c r="P81" i="14"/>
  <c r="J133" i="14" s="1"/>
  <c r="D133" i="14" s="1"/>
  <c r="H611" i="21"/>
  <c r="B46" i="18"/>
  <c r="I189" i="12"/>
  <c r="E65" i="13"/>
  <c r="D64" i="13"/>
  <c r="D73" i="13" s="1"/>
  <c r="J240" i="14"/>
  <c r="I240" i="14"/>
  <c r="I242" i="14" s="1"/>
  <c r="H138" i="21"/>
  <c r="H140" i="21"/>
  <c r="H136" i="21"/>
  <c r="J165" i="12"/>
  <c r="K174" i="21" s="1"/>
  <c r="J189" i="14"/>
  <c r="J217" i="14" s="1"/>
  <c r="P100" i="14"/>
  <c r="J134" i="14" s="1"/>
  <c r="D134" i="14" s="1"/>
  <c r="E465" i="12"/>
  <c r="I341" i="14"/>
  <c r="I343" i="14" s="1"/>
  <c r="J341" i="14"/>
  <c r="J343" i="14" s="1"/>
  <c r="W49" i="15"/>
  <c r="U49" i="15"/>
  <c r="S57" i="15"/>
  <c r="I232" i="14"/>
  <c r="J232" i="14"/>
  <c r="AG68" i="15"/>
  <c r="AI68" i="15"/>
  <c r="I248" i="14"/>
  <c r="J248" i="14"/>
  <c r="G71" i="13"/>
  <c r="J96" i="12"/>
  <c r="L129" i="21"/>
  <c r="H553" i="12"/>
  <c r="I133" i="12"/>
  <c r="J323" i="14"/>
  <c r="J350" i="14" s="1"/>
  <c r="P168" i="14"/>
  <c r="I28" i="22" s="1"/>
  <c r="X31" i="15"/>
  <c r="Z31" i="15"/>
  <c r="R56" i="15"/>
  <c r="AD67" i="15"/>
  <c r="AF67" i="15"/>
  <c r="F110" i="17"/>
  <c r="F139" i="17"/>
  <c r="F105" i="17"/>
  <c r="G105" i="17" s="1"/>
  <c r="H105" i="17" s="1"/>
  <c r="I105" i="17" s="1"/>
  <c r="H439" i="21"/>
  <c r="C46" i="20"/>
  <c r="I200" i="14"/>
  <c r="I202" i="14" s="1"/>
  <c r="I194" i="14"/>
  <c r="G485" i="21"/>
  <c r="H74" i="21"/>
  <c r="H76" i="21"/>
  <c r="H72" i="21"/>
  <c r="P123" i="14"/>
  <c r="J136" i="14" s="1"/>
  <c r="D136" i="14" s="1"/>
  <c r="K80" i="12"/>
  <c r="H527" i="21"/>
  <c r="G625" i="21"/>
  <c r="AC70" i="15"/>
  <c r="AA70" i="15"/>
  <c r="L120" i="12"/>
  <c r="H667" i="21"/>
  <c r="I85" i="12"/>
  <c r="J94" i="21" s="1"/>
  <c r="H91" i="12"/>
  <c r="H709" i="21"/>
  <c r="Z16" i="15"/>
  <c r="X16" i="15"/>
  <c r="G380" i="21"/>
  <c r="G730" i="21" s="1"/>
  <c r="G729" i="21" s="1"/>
  <c r="G376" i="21"/>
  <c r="G378" i="21"/>
  <c r="G621" i="21"/>
  <c r="P58" i="14"/>
  <c r="J132" i="14" s="1"/>
  <c r="D132" i="14" s="1"/>
  <c r="J192" i="14"/>
  <c r="J241" i="14" s="1"/>
  <c r="J258" i="14"/>
  <c r="J280" i="14" s="1"/>
  <c r="P156" i="14"/>
  <c r="I29" i="22" s="1"/>
  <c r="J257" i="14"/>
  <c r="J272" i="14" s="1"/>
  <c r="J191" i="14"/>
  <c r="J233" i="14" s="1"/>
  <c r="L43" i="21"/>
  <c r="D76" i="27"/>
  <c r="D66" i="27"/>
  <c r="D12" i="27"/>
  <c r="H88" i="21"/>
  <c r="H92" i="21"/>
  <c r="H90" i="21"/>
  <c r="F537" i="12"/>
  <c r="H197" i="12"/>
  <c r="I206" i="21" s="1"/>
  <c r="G203" i="12"/>
  <c r="H411" i="21"/>
  <c r="I69" i="12"/>
  <c r="J78" i="21" s="1"/>
  <c r="H75" i="12"/>
  <c r="K65" i="21"/>
  <c r="G677" i="21"/>
  <c r="W33" i="15"/>
  <c r="U33" i="15"/>
  <c r="E76" i="27"/>
  <c r="E12" i="27"/>
  <c r="E15" i="27" s="1"/>
  <c r="E79" i="27" s="1"/>
  <c r="E66" i="27"/>
  <c r="H509" i="21"/>
  <c r="H195" i="12"/>
  <c r="K128" i="12"/>
  <c r="G384" i="21"/>
  <c r="G386" i="21"/>
  <c r="G388" i="21"/>
  <c r="J136" i="12"/>
  <c r="P23" i="15"/>
  <c r="T14" i="15"/>
  <c r="N59" i="21"/>
  <c r="M60" i="21"/>
  <c r="I551" i="21"/>
  <c r="K55" i="21"/>
  <c r="J56" i="21"/>
  <c r="I138" i="14"/>
  <c r="J200" i="12"/>
  <c r="I663" i="21"/>
  <c r="J56" i="12"/>
  <c r="I565" i="21"/>
  <c r="J193" i="14"/>
  <c r="J249" i="14" s="1"/>
  <c r="P35" i="14"/>
  <c r="J131" i="14" s="1"/>
  <c r="D131" i="14" s="1"/>
  <c r="J192" i="12"/>
  <c r="H373" i="12"/>
  <c r="I382" i="21" s="1"/>
  <c r="G379" i="12"/>
  <c r="W50" i="15"/>
  <c r="U50" i="15"/>
  <c r="I184" i="12"/>
  <c r="I415" i="21"/>
  <c r="H68" i="13"/>
  <c r="AC34" i="15"/>
  <c r="AA34" i="15"/>
  <c r="P23" i="14"/>
  <c r="J130" i="14" s="1"/>
  <c r="J322" i="14"/>
  <c r="J342" i="14" s="1"/>
  <c r="H196" i="21" l="1"/>
  <c r="H194" i="21"/>
  <c r="I170" i="21"/>
  <c r="I157" i="12"/>
  <c r="J166" i="21" s="1"/>
  <c r="J168" i="21" s="1"/>
  <c r="G382" i="12"/>
  <c r="G48" i="20" s="1"/>
  <c r="G50" i="20" s="1"/>
  <c r="G377" i="14"/>
  <c r="G252" i="14"/>
  <c r="E20" i="13" s="1"/>
  <c r="V38" i="15"/>
  <c r="W15" i="15"/>
  <c r="U15" i="15"/>
  <c r="W17" i="15"/>
  <c r="U17" i="15"/>
  <c r="U37" i="15"/>
  <c r="H377" i="14"/>
  <c r="F21" i="13" s="1"/>
  <c r="G378" i="14"/>
  <c r="F72" i="13" s="1"/>
  <c r="F70" i="13" s="1"/>
  <c r="I172" i="21"/>
  <c r="H163" i="12"/>
  <c r="I212" i="21"/>
  <c r="I208" i="21"/>
  <c r="I210" i="21"/>
  <c r="I195" i="12"/>
  <c r="J198" i="21"/>
  <c r="I190" i="21"/>
  <c r="I194" i="21" s="1"/>
  <c r="I181" i="12"/>
  <c r="I187" i="12" s="1"/>
  <c r="I186" i="21"/>
  <c r="I184" i="21"/>
  <c r="I188" i="21"/>
  <c r="H168" i="21"/>
  <c r="H172" i="21"/>
  <c r="H170" i="21"/>
  <c r="I139" i="12"/>
  <c r="J142" i="21"/>
  <c r="J134" i="21"/>
  <c r="I131" i="12"/>
  <c r="J125" i="12"/>
  <c r="I130" i="21"/>
  <c r="I132" i="21"/>
  <c r="I128" i="21"/>
  <c r="H99" i="12"/>
  <c r="I102" i="21"/>
  <c r="I35" i="12"/>
  <c r="J38" i="21"/>
  <c r="I234" i="14"/>
  <c r="F253" i="14"/>
  <c r="E66" i="13" s="1"/>
  <c r="E64" i="13" s="1"/>
  <c r="E73" i="13" s="1"/>
  <c r="H173" i="14"/>
  <c r="I1045" i="21"/>
  <c r="H252" i="14"/>
  <c r="F20" i="13" s="1"/>
  <c r="I377" i="14"/>
  <c r="G21" i="13" s="1"/>
  <c r="F477" i="21"/>
  <c r="G477" i="21" s="1"/>
  <c r="H477" i="21" s="1"/>
  <c r="I477" i="21" s="1"/>
  <c r="E160" i="17"/>
  <c r="E158" i="17" s="1"/>
  <c r="F158" i="17" s="1"/>
  <c r="G158" i="17" s="1"/>
  <c r="H158" i="17" s="1"/>
  <c r="I158" i="17" s="1"/>
  <c r="E96" i="17"/>
  <c r="F96" i="17" s="1"/>
  <c r="G96" i="17" s="1"/>
  <c r="H96" i="17" s="1"/>
  <c r="I96" i="17" s="1"/>
  <c r="J53" i="12"/>
  <c r="J59" i="12" s="1"/>
  <c r="J62" i="21"/>
  <c r="F492" i="21"/>
  <c r="F828" i="21"/>
  <c r="F827" i="21" s="1"/>
  <c r="G827" i="21" s="1"/>
  <c r="I733" i="21"/>
  <c r="H737" i="21"/>
  <c r="F813" i="21"/>
  <c r="E816" i="21"/>
  <c r="G750" i="21"/>
  <c r="H747" i="21"/>
  <c r="I743" i="21"/>
  <c r="I746" i="21" s="1"/>
  <c r="H746" i="21"/>
  <c r="H754" i="21"/>
  <c r="I751" i="21"/>
  <c r="I754" i="21" s="1"/>
  <c r="I757" i="21"/>
  <c r="I760" i="21" s="1"/>
  <c r="H760" i="21"/>
  <c r="G768" i="21"/>
  <c r="H765" i="21"/>
  <c r="G764" i="21"/>
  <c r="H761" i="21"/>
  <c r="F799" i="21"/>
  <c r="E802" i="21"/>
  <c r="H771" i="21"/>
  <c r="G774" i="21"/>
  <c r="E782" i="21"/>
  <c r="F779" i="21"/>
  <c r="E491" i="21"/>
  <c r="E505" i="21"/>
  <c r="E778" i="21"/>
  <c r="F775" i="21"/>
  <c r="H492" i="21"/>
  <c r="H828" i="21"/>
  <c r="G788" i="21"/>
  <c r="H785" i="21"/>
  <c r="H792" i="21"/>
  <c r="I789" i="21"/>
  <c r="I792" i="21" s="1"/>
  <c r="G796" i="21"/>
  <c r="H793" i="21"/>
  <c r="G548" i="21"/>
  <c r="G534" i="21"/>
  <c r="G870" i="21"/>
  <c r="H810" i="21"/>
  <c r="I807" i="21"/>
  <c r="I810" i="21" s="1"/>
  <c r="G806" i="21"/>
  <c r="H803" i="21"/>
  <c r="E844" i="21"/>
  <c r="G824" i="21"/>
  <c r="H821" i="21"/>
  <c r="H817" i="21"/>
  <c r="G820" i="21"/>
  <c r="G838" i="21"/>
  <c r="H835" i="21"/>
  <c r="F834" i="21"/>
  <c r="G831" i="21"/>
  <c r="I845" i="21"/>
  <c r="I848" i="21" s="1"/>
  <c r="H848" i="21"/>
  <c r="H849" i="21"/>
  <c r="G852" i="21"/>
  <c r="G862" i="21"/>
  <c r="H859" i="21"/>
  <c r="H866" i="21"/>
  <c r="I863" i="21"/>
  <c r="I866" i="21" s="1"/>
  <c r="I877" i="21"/>
  <c r="I873" i="21"/>
  <c r="H894" i="21"/>
  <c r="I891" i="21"/>
  <c r="I894" i="21" s="1"/>
  <c r="H890" i="21"/>
  <c r="I887" i="21"/>
  <c r="I890" i="21" s="1"/>
  <c r="H904" i="21"/>
  <c r="I901" i="21"/>
  <c r="I904" i="21" s="1"/>
  <c r="H908" i="21"/>
  <c r="I905" i="21"/>
  <c r="I908" i="21" s="1"/>
  <c r="H922" i="21"/>
  <c r="I919" i="21"/>
  <c r="I922" i="21" s="1"/>
  <c r="H918" i="21"/>
  <c r="I915" i="21"/>
  <c r="I918" i="21" s="1"/>
  <c r="H932" i="21"/>
  <c r="I929" i="21"/>
  <c r="I932" i="21" s="1"/>
  <c r="H936" i="21"/>
  <c r="I933" i="21"/>
  <c r="I936" i="21" s="1"/>
  <c r="H950" i="21"/>
  <c r="I947" i="21"/>
  <c r="I950" i="21" s="1"/>
  <c r="H946" i="21"/>
  <c r="I943" i="21"/>
  <c r="I946" i="21" s="1"/>
  <c r="H964" i="21"/>
  <c r="I961" i="21"/>
  <c r="I964" i="21" s="1"/>
  <c r="H960" i="21"/>
  <c r="I957" i="21"/>
  <c r="I960" i="21" s="1"/>
  <c r="H978" i="21"/>
  <c r="I975" i="21"/>
  <c r="I978" i="21" s="1"/>
  <c r="H974" i="21"/>
  <c r="I971" i="21"/>
  <c r="I974" i="21" s="1"/>
  <c r="H992" i="21"/>
  <c r="I989" i="21"/>
  <c r="I992" i="21" s="1"/>
  <c r="H988" i="21"/>
  <c r="I985" i="21"/>
  <c r="I988" i="21" s="1"/>
  <c r="H1006" i="21"/>
  <c r="I1003" i="21"/>
  <c r="I1006" i="21" s="1"/>
  <c r="H1002" i="21"/>
  <c r="I999" i="21"/>
  <c r="I1002" i="21" s="1"/>
  <c r="H1020" i="21"/>
  <c r="I1017" i="21"/>
  <c r="I1020" i="21" s="1"/>
  <c r="H1016" i="21"/>
  <c r="I1013" i="21"/>
  <c r="I1016" i="21" s="1"/>
  <c r="I1027" i="21"/>
  <c r="I1031" i="21"/>
  <c r="G17" i="21"/>
  <c r="F18" i="27" s="1"/>
  <c r="G18" i="21"/>
  <c r="F20" i="27" s="1"/>
  <c r="G19" i="21"/>
  <c r="F21" i="27" s="1"/>
  <c r="AA71" i="15"/>
  <c r="AC71" i="15"/>
  <c r="J377" i="14"/>
  <c r="H21" i="13" s="1"/>
  <c r="P21" i="13" s="1"/>
  <c r="E21" i="13"/>
  <c r="R22" i="15"/>
  <c r="G317" i="14"/>
  <c r="F69" i="13" s="1"/>
  <c r="F67" i="13" s="1"/>
  <c r="I93" i="12"/>
  <c r="H96" i="21"/>
  <c r="H100" i="21"/>
  <c r="I96" i="21"/>
  <c r="I109" i="12"/>
  <c r="J118" i="21" s="1"/>
  <c r="H115" i="12"/>
  <c r="H112" i="21"/>
  <c r="H116" i="21"/>
  <c r="H114" i="21"/>
  <c r="I37" i="12"/>
  <c r="H43" i="12"/>
  <c r="H48" i="21"/>
  <c r="H52" i="21"/>
  <c r="H50" i="21"/>
  <c r="H67" i="12"/>
  <c r="I61" i="12"/>
  <c r="J70" i="21" s="1"/>
  <c r="I173" i="12"/>
  <c r="J182" i="21" s="1"/>
  <c r="H179" i="12"/>
  <c r="H122" i="21"/>
  <c r="H120" i="21"/>
  <c r="H124" i="21"/>
  <c r="I117" i="12"/>
  <c r="J126" i="21" s="1"/>
  <c r="H123" i="12"/>
  <c r="I84" i="21"/>
  <c r="I80" i="21"/>
  <c r="I82" i="21"/>
  <c r="H66" i="21"/>
  <c r="H64" i="21"/>
  <c r="H68" i="21"/>
  <c r="H178" i="21"/>
  <c r="H176" i="21"/>
  <c r="H180" i="21"/>
  <c r="J77" i="12"/>
  <c r="K86" i="21" s="1"/>
  <c r="I83" i="12"/>
  <c r="I21" i="12"/>
  <c r="J30" i="21" s="1"/>
  <c r="H27" i="12"/>
  <c r="H34" i="21"/>
  <c r="H36" i="21"/>
  <c r="H32" i="21"/>
  <c r="J218" i="14"/>
  <c r="J234" i="14"/>
  <c r="I250" i="14"/>
  <c r="J242" i="14"/>
  <c r="J138" i="14"/>
  <c r="J173" i="14" s="1"/>
  <c r="I99" i="27" s="1"/>
  <c r="K104" i="12"/>
  <c r="I42" i="21"/>
  <c r="I40" i="21"/>
  <c r="I44" i="21"/>
  <c r="H104" i="21"/>
  <c r="H108" i="21"/>
  <c r="H106" i="21"/>
  <c r="I101" i="12"/>
  <c r="J110" i="21" s="1"/>
  <c r="H107" i="12"/>
  <c r="I156" i="21"/>
  <c r="I154" i="21"/>
  <c r="I152" i="21"/>
  <c r="I163" i="12"/>
  <c r="J157" i="12"/>
  <c r="K166" i="21" s="1"/>
  <c r="U18" i="15"/>
  <c r="W18" i="15"/>
  <c r="H26" i="21"/>
  <c r="H24" i="21"/>
  <c r="H28" i="21"/>
  <c r="K97" i="15"/>
  <c r="K112" i="15" s="1"/>
  <c r="K130" i="15" s="1"/>
  <c r="K147" i="15" s="1"/>
  <c r="H23" i="16"/>
  <c r="J149" i="12"/>
  <c r="K158" i="21" s="1"/>
  <c r="K32" i="12"/>
  <c r="F76" i="15"/>
  <c r="F77" i="15" s="1"/>
  <c r="F78" i="15" s="1"/>
  <c r="C47" i="20" s="1"/>
  <c r="C50" i="20" s="1"/>
  <c r="E38" i="15"/>
  <c r="F38" i="15" s="1"/>
  <c r="F39" i="15" s="1"/>
  <c r="F40" i="15" s="1"/>
  <c r="D16" i="21" s="1"/>
  <c r="I162" i="21"/>
  <c r="I164" i="21"/>
  <c r="I160" i="21"/>
  <c r="K64" i="12"/>
  <c r="I57" i="15"/>
  <c r="I58" i="15" s="1"/>
  <c r="I59" i="15" s="1"/>
  <c r="H76" i="15"/>
  <c r="U72" i="15"/>
  <c r="U75" i="15" s="1"/>
  <c r="W72" i="15"/>
  <c r="E116" i="17"/>
  <c r="E111" i="17"/>
  <c r="I147" i="12"/>
  <c r="J141" i="12"/>
  <c r="K150" i="21" s="1"/>
  <c r="X69" i="15"/>
  <c r="Z69" i="15"/>
  <c r="V76" i="15"/>
  <c r="M58" i="21"/>
  <c r="N57" i="21"/>
  <c r="U53" i="15"/>
  <c r="U56" i="15" s="1"/>
  <c r="W53" i="15"/>
  <c r="Z52" i="15"/>
  <c r="X52" i="15"/>
  <c r="J152" i="12"/>
  <c r="I155" i="12"/>
  <c r="E145" i="17"/>
  <c r="E140" i="17"/>
  <c r="J29" i="12"/>
  <c r="I148" i="21"/>
  <c r="I144" i="21"/>
  <c r="I146" i="21"/>
  <c r="K57" i="15"/>
  <c r="N23" i="15"/>
  <c r="L23" i="15"/>
  <c r="L24" i="15" s="1"/>
  <c r="L25" i="15" s="1"/>
  <c r="J40" i="12"/>
  <c r="D21" i="13"/>
  <c r="X29" i="15"/>
  <c r="Z29" i="15"/>
  <c r="Z51" i="15"/>
  <c r="X51" i="15"/>
  <c r="W19" i="15"/>
  <c r="U19" i="15"/>
  <c r="AC32" i="15"/>
  <c r="AA32" i="15"/>
  <c r="Z30" i="15"/>
  <c r="X30" i="15"/>
  <c r="Z48" i="15"/>
  <c r="X48" i="15"/>
  <c r="J250" i="14"/>
  <c r="I411" i="21"/>
  <c r="H485" i="21"/>
  <c r="AI67" i="15"/>
  <c r="AG67" i="15"/>
  <c r="M129" i="21"/>
  <c r="G99" i="27"/>
  <c r="J189" i="12"/>
  <c r="W14" i="15"/>
  <c r="U14" i="15"/>
  <c r="S23" i="15"/>
  <c r="I373" i="12"/>
  <c r="J382" i="21" s="1"/>
  <c r="H379" i="12"/>
  <c r="K192" i="12"/>
  <c r="AC16" i="15"/>
  <c r="AA16" i="15"/>
  <c r="H625" i="21"/>
  <c r="I439" i="21"/>
  <c r="I138" i="21"/>
  <c r="I140" i="21"/>
  <c r="I136" i="21"/>
  <c r="AJ68" i="15"/>
  <c r="AL68" i="15"/>
  <c r="K165" i="12"/>
  <c r="I509" i="21"/>
  <c r="K200" i="12"/>
  <c r="I74" i="21"/>
  <c r="I76" i="21"/>
  <c r="I72" i="21"/>
  <c r="X50" i="15"/>
  <c r="Z50" i="15"/>
  <c r="K56" i="12"/>
  <c r="K56" i="21"/>
  <c r="L55" i="21"/>
  <c r="K136" i="12"/>
  <c r="H677" i="21"/>
  <c r="D15" i="27"/>
  <c r="D79" i="27" s="1"/>
  <c r="I88" i="21"/>
  <c r="I90" i="21"/>
  <c r="I92" i="21"/>
  <c r="I527" i="21"/>
  <c r="J133" i="12"/>
  <c r="K142" i="21" s="1"/>
  <c r="K96" i="12"/>
  <c r="J170" i="21"/>
  <c r="F65" i="13"/>
  <c r="I569" i="21"/>
  <c r="L128" i="12"/>
  <c r="Z33" i="15"/>
  <c r="X33" i="15"/>
  <c r="AD34" i="15"/>
  <c r="AF34" i="15"/>
  <c r="D130" i="14"/>
  <c r="D138" i="14" s="1"/>
  <c r="I75" i="12"/>
  <c r="J69" i="12"/>
  <c r="K78" i="21" s="1"/>
  <c r="G537" i="12"/>
  <c r="M43" i="21"/>
  <c r="J85" i="12"/>
  <c r="K94" i="21" s="1"/>
  <c r="I91" i="12"/>
  <c r="M120" i="12"/>
  <c r="F11" i="27"/>
  <c r="F48" i="20"/>
  <c r="AA31" i="15"/>
  <c r="AC31" i="15"/>
  <c r="H71" i="13"/>
  <c r="F465" i="12"/>
  <c r="B47" i="18"/>
  <c r="J171" i="12"/>
  <c r="H27" i="22"/>
  <c r="I173" i="14"/>
  <c r="H99" i="27" s="1"/>
  <c r="H621" i="21"/>
  <c r="I709" i="21"/>
  <c r="L80" i="12"/>
  <c r="F142" i="17"/>
  <c r="F137" i="17"/>
  <c r="G137" i="17" s="1"/>
  <c r="H137" i="17" s="1"/>
  <c r="I137" i="17" s="1"/>
  <c r="J201" i="14"/>
  <c r="J194" i="14"/>
  <c r="L168" i="12"/>
  <c r="I68" i="13"/>
  <c r="H380" i="21"/>
  <c r="H730" i="21" s="1"/>
  <c r="H729" i="21" s="1"/>
  <c r="H378" i="21"/>
  <c r="H376" i="21"/>
  <c r="I667" i="21"/>
  <c r="F113" i="17"/>
  <c r="F108" i="17"/>
  <c r="G108" i="17" s="1"/>
  <c r="H108" i="17" s="1"/>
  <c r="I108" i="17" s="1"/>
  <c r="H384" i="21"/>
  <c r="H388" i="21"/>
  <c r="H386" i="21"/>
  <c r="N60" i="21"/>
  <c r="O59" i="21"/>
  <c r="L65" i="21"/>
  <c r="I197" i="12"/>
  <c r="J206" i="21" s="1"/>
  <c r="H203" i="12"/>
  <c r="Z49" i="15"/>
  <c r="X49" i="15"/>
  <c r="I611" i="21"/>
  <c r="J184" i="12"/>
  <c r="AD70" i="15"/>
  <c r="AF70" i="15"/>
  <c r="J172" i="21" l="1"/>
  <c r="H382" i="12"/>
  <c r="H11" i="27" s="1"/>
  <c r="G253" i="14"/>
  <c r="F66" i="13" s="1"/>
  <c r="I252" i="14"/>
  <c r="X17" i="15"/>
  <c r="Z17" i="15"/>
  <c r="Z15" i="15"/>
  <c r="X15" i="15"/>
  <c r="H378" i="14"/>
  <c r="G72" i="13" s="1"/>
  <c r="G70" i="13" s="1"/>
  <c r="I192" i="21"/>
  <c r="I196" i="21"/>
  <c r="J208" i="21"/>
  <c r="J210" i="21"/>
  <c r="J212" i="21"/>
  <c r="J195" i="12"/>
  <c r="K198" i="21"/>
  <c r="J202" i="21"/>
  <c r="J200" i="21"/>
  <c r="J204" i="21"/>
  <c r="J190" i="21"/>
  <c r="J194" i="21" s="1"/>
  <c r="J181" i="12"/>
  <c r="J187" i="12" s="1"/>
  <c r="J188" i="21"/>
  <c r="J184" i="21"/>
  <c r="J186" i="21"/>
  <c r="K171" i="12"/>
  <c r="L174" i="21"/>
  <c r="K134" i="21"/>
  <c r="J131" i="12"/>
  <c r="K125" i="12"/>
  <c r="J130" i="21"/>
  <c r="J132" i="21"/>
  <c r="J128" i="21"/>
  <c r="I99" i="12"/>
  <c r="J102" i="21"/>
  <c r="I43" i="12"/>
  <c r="J46" i="21"/>
  <c r="J35" i="12"/>
  <c r="K38" i="21"/>
  <c r="F491" i="21"/>
  <c r="G491" i="21" s="1"/>
  <c r="H491" i="21" s="1"/>
  <c r="I491" i="21" s="1"/>
  <c r="H317" i="14"/>
  <c r="G69" i="13" s="1"/>
  <c r="G67" i="13" s="1"/>
  <c r="H827" i="21"/>
  <c r="K53" i="12"/>
  <c r="K62" i="21"/>
  <c r="E855" i="21"/>
  <c r="E858" i="21" s="1"/>
  <c r="F842" i="21"/>
  <c r="F841" i="21" s="1"/>
  <c r="G841" i="21" s="1"/>
  <c r="F506" i="21"/>
  <c r="I729" i="21"/>
  <c r="F816" i="21"/>
  <c r="G813" i="21"/>
  <c r="I737" i="21"/>
  <c r="H750" i="21"/>
  <c r="I747" i="21"/>
  <c r="I750" i="21" s="1"/>
  <c r="H764" i="21"/>
  <c r="I761" i="21"/>
  <c r="I764" i="21" s="1"/>
  <c r="H768" i="21"/>
  <c r="I765" i="21"/>
  <c r="I768" i="21" s="1"/>
  <c r="G830" i="21"/>
  <c r="F802" i="21"/>
  <c r="G799" i="21"/>
  <c r="F830" i="21"/>
  <c r="F778" i="21"/>
  <c r="G775" i="21"/>
  <c r="F782" i="21"/>
  <c r="G779" i="21"/>
  <c r="H506" i="21"/>
  <c r="H842" i="21"/>
  <c r="I771" i="21"/>
  <c r="I774" i="21" s="1"/>
  <c r="H774" i="21"/>
  <c r="H796" i="21"/>
  <c r="I793" i="21"/>
  <c r="I796" i="21" s="1"/>
  <c r="I785" i="21"/>
  <c r="I788" i="21" s="1"/>
  <c r="H788" i="21"/>
  <c r="I803" i="21"/>
  <c r="I806" i="21" s="1"/>
  <c r="H806" i="21"/>
  <c r="G562" i="21"/>
  <c r="G884" i="21"/>
  <c r="G898" i="21"/>
  <c r="G576" i="21"/>
  <c r="H824" i="21"/>
  <c r="I821" i="21"/>
  <c r="I824" i="21" s="1"/>
  <c r="H820" i="21"/>
  <c r="I817" i="21"/>
  <c r="I820" i="21" s="1"/>
  <c r="G834" i="21"/>
  <c r="H831" i="21"/>
  <c r="H838" i="21"/>
  <c r="I835" i="21"/>
  <c r="I838" i="21" s="1"/>
  <c r="I827" i="21"/>
  <c r="I830" i="21" s="1"/>
  <c r="H830" i="21"/>
  <c r="H852" i="21"/>
  <c r="I849" i="21"/>
  <c r="I852" i="21" s="1"/>
  <c r="H862" i="21"/>
  <c r="I859" i="21"/>
  <c r="I862" i="21" s="1"/>
  <c r="H19" i="21"/>
  <c r="G21" i="27" s="1"/>
  <c r="H17" i="21"/>
  <c r="G18" i="27" s="1"/>
  <c r="H18" i="21"/>
  <c r="G20" i="27" s="1"/>
  <c r="C17" i="27"/>
  <c r="AD71" i="15"/>
  <c r="AF71" i="15"/>
  <c r="I27" i="22"/>
  <c r="U22" i="15"/>
  <c r="F22" i="22"/>
  <c r="J98" i="21"/>
  <c r="J93" i="12"/>
  <c r="K102" i="21" s="1"/>
  <c r="I98" i="21"/>
  <c r="I100" i="21"/>
  <c r="J109" i="12"/>
  <c r="K118" i="21" s="1"/>
  <c r="I115" i="12"/>
  <c r="I112" i="21"/>
  <c r="I114" i="21"/>
  <c r="I116" i="21"/>
  <c r="I48" i="21"/>
  <c r="I50" i="21"/>
  <c r="I52" i="21"/>
  <c r="J37" i="12"/>
  <c r="J84" i="21"/>
  <c r="J82" i="21"/>
  <c r="J80" i="21"/>
  <c r="J117" i="12"/>
  <c r="K126" i="21" s="1"/>
  <c r="I123" i="12"/>
  <c r="I66" i="21"/>
  <c r="I64" i="21"/>
  <c r="I68" i="21"/>
  <c r="J173" i="12"/>
  <c r="K182" i="21" s="1"/>
  <c r="I179" i="12"/>
  <c r="I124" i="21"/>
  <c r="I120" i="21"/>
  <c r="I122" i="21"/>
  <c r="I67" i="12"/>
  <c r="J61" i="12"/>
  <c r="K70" i="21" s="1"/>
  <c r="K77" i="12"/>
  <c r="L86" i="21" s="1"/>
  <c r="J83" i="12"/>
  <c r="I178" i="21"/>
  <c r="I180" i="21"/>
  <c r="I176" i="21"/>
  <c r="J21" i="12"/>
  <c r="K30" i="21" s="1"/>
  <c r="I27" i="12"/>
  <c r="I36" i="21"/>
  <c r="I34" i="21"/>
  <c r="I32" i="21"/>
  <c r="G11" i="27"/>
  <c r="G66" i="27" s="1"/>
  <c r="H253" i="14"/>
  <c r="G66" i="13" s="1"/>
  <c r="AA52" i="15"/>
  <c r="AC52" i="15"/>
  <c r="K157" i="12"/>
  <c r="L166" i="21" s="1"/>
  <c r="J163" i="12"/>
  <c r="Q23" i="15"/>
  <c r="N57" i="15"/>
  <c r="O23" i="15"/>
  <c r="O24" i="15" s="1"/>
  <c r="O25" i="15" s="1"/>
  <c r="Z53" i="15"/>
  <c r="X53" i="15"/>
  <c r="X56" i="15" s="1"/>
  <c r="D44" i="20"/>
  <c r="D46" i="20" s="1"/>
  <c r="C25" i="27"/>
  <c r="C61" i="27" s="1"/>
  <c r="K76" i="15"/>
  <c r="L57" i="15"/>
  <c r="L58" i="15" s="1"/>
  <c r="L59" i="15" s="1"/>
  <c r="J144" i="21"/>
  <c r="J148" i="21"/>
  <c r="J146" i="21"/>
  <c r="L32" i="12"/>
  <c r="J164" i="21"/>
  <c r="J162" i="21"/>
  <c r="J160" i="21"/>
  <c r="J101" i="12"/>
  <c r="K110" i="21" s="1"/>
  <c r="I107" i="12"/>
  <c r="L104" i="12"/>
  <c r="K141" i="12"/>
  <c r="L150" i="21" s="1"/>
  <c r="J147" i="12"/>
  <c r="I76" i="15"/>
  <c r="I77" i="15" s="1"/>
  <c r="I78" i="15" s="1"/>
  <c r="D47" i="20" s="1"/>
  <c r="D50" i="20" s="1"/>
  <c r="H38" i="15"/>
  <c r="I38" i="15" s="1"/>
  <c r="I39" i="15" s="1"/>
  <c r="I40" i="15" s="1"/>
  <c r="E16" i="21" s="1"/>
  <c r="L64" i="12"/>
  <c r="N58" i="21"/>
  <c r="O57" i="21"/>
  <c r="I108" i="21"/>
  <c r="I106" i="21"/>
  <c r="I104" i="21"/>
  <c r="J40" i="21"/>
  <c r="J42" i="21"/>
  <c r="J44" i="21"/>
  <c r="V57" i="15"/>
  <c r="E148" i="17"/>
  <c r="E143" i="17"/>
  <c r="X18" i="15"/>
  <c r="Z18" i="15"/>
  <c r="K149" i="12"/>
  <c r="L158" i="21" s="1"/>
  <c r="E22" i="22"/>
  <c r="X37" i="15"/>
  <c r="K152" i="12"/>
  <c r="J155" i="12"/>
  <c r="AA69" i="15"/>
  <c r="AC69" i="15"/>
  <c r="E119" i="17"/>
  <c r="E114" i="17"/>
  <c r="I26" i="21"/>
  <c r="I24" i="21"/>
  <c r="I28" i="21"/>
  <c r="J152" i="21"/>
  <c r="J154" i="21"/>
  <c r="J156" i="21"/>
  <c r="Y38" i="15"/>
  <c r="K40" i="12"/>
  <c r="K29" i="12"/>
  <c r="L38" i="21" s="1"/>
  <c r="X72" i="15"/>
  <c r="X75" i="15" s="1"/>
  <c r="Z72" i="15"/>
  <c r="Y76" i="15" s="1"/>
  <c r="I23" i="16"/>
  <c r="Q97" i="15" s="1"/>
  <c r="Q112" i="15" s="1"/>
  <c r="Q130" i="15" s="1"/>
  <c r="Q147" i="15" s="1"/>
  <c r="N97" i="15"/>
  <c r="N112" i="15" s="1"/>
  <c r="N130" i="15" s="1"/>
  <c r="N147" i="15" s="1"/>
  <c r="AC29" i="15"/>
  <c r="AA29" i="15"/>
  <c r="X19" i="15"/>
  <c r="Z19" i="15"/>
  <c r="AC51" i="15"/>
  <c r="AA51" i="15"/>
  <c r="AD32" i="15"/>
  <c r="AF32" i="15"/>
  <c r="AC30" i="15"/>
  <c r="AA30" i="15"/>
  <c r="AC48" i="15"/>
  <c r="AA48" i="15"/>
  <c r="J252" i="14"/>
  <c r="H20" i="13" s="1"/>
  <c r="AA49" i="15"/>
  <c r="AC49" i="15"/>
  <c r="Y57" i="15"/>
  <c r="X14" i="15"/>
  <c r="Z14" i="15"/>
  <c r="V23" i="15"/>
  <c r="J92" i="21"/>
  <c r="J88" i="21"/>
  <c r="J90" i="21"/>
  <c r="J74" i="21"/>
  <c r="J72" i="21"/>
  <c r="J76" i="21"/>
  <c r="AD16" i="15"/>
  <c r="AF16" i="15"/>
  <c r="K189" i="12"/>
  <c r="L198" i="21" s="1"/>
  <c r="N129" i="21"/>
  <c r="I485" i="21"/>
  <c r="M168" i="12"/>
  <c r="M80" i="12"/>
  <c r="G465" i="12"/>
  <c r="K69" i="12"/>
  <c r="L78" i="21" s="1"/>
  <c r="J75" i="12"/>
  <c r="I677" i="21"/>
  <c r="L165" i="12"/>
  <c r="L192" i="12"/>
  <c r="J196" i="21"/>
  <c r="J192" i="21"/>
  <c r="I621" i="21"/>
  <c r="L96" i="12"/>
  <c r="G22" i="22"/>
  <c r="AG70" i="15"/>
  <c r="AI70" i="15"/>
  <c r="M65" i="21"/>
  <c r="N43" i="21"/>
  <c r="G65" i="13"/>
  <c r="F64" i="13"/>
  <c r="F73" i="13" s="1"/>
  <c r="J138" i="21"/>
  <c r="J140" i="21"/>
  <c r="J136" i="21"/>
  <c r="L136" i="12"/>
  <c r="L200" i="12"/>
  <c r="K172" i="21"/>
  <c r="K168" i="21"/>
  <c r="K170" i="21"/>
  <c r="D173" i="14"/>
  <c r="K184" i="12"/>
  <c r="L56" i="12"/>
  <c r="K59" i="12"/>
  <c r="G20" i="13"/>
  <c r="I376" i="21"/>
  <c r="I378" i="21"/>
  <c r="I380" i="21"/>
  <c r="I71" i="13"/>
  <c r="F76" i="27"/>
  <c r="F66" i="27"/>
  <c r="F12" i="27"/>
  <c r="F15" i="27" s="1"/>
  <c r="F79" i="27" s="1"/>
  <c r="AI34" i="15"/>
  <c r="AG34" i="15"/>
  <c r="AC33" i="15"/>
  <c r="AA33" i="15"/>
  <c r="K133" i="12"/>
  <c r="J139" i="12"/>
  <c r="I384" i="21"/>
  <c r="I388" i="21"/>
  <c r="I386" i="21"/>
  <c r="K85" i="12"/>
  <c r="L94" i="21" s="1"/>
  <c r="J91" i="12"/>
  <c r="J197" i="12"/>
  <c r="K206" i="21" s="1"/>
  <c r="I203" i="12"/>
  <c r="O60" i="21"/>
  <c r="P60" i="21" s="1"/>
  <c r="P59" i="21"/>
  <c r="D471" i="21" s="1"/>
  <c r="B48" i="18"/>
  <c r="N120" i="12"/>
  <c r="L56" i="21"/>
  <c r="M55" i="21"/>
  <c r="AA50" i="15"/>
  <c r="AC50" i="15"/>
  <c r="E139" i="15"/>
  <c r="AM68" i="15"/>
  <c r="AN68" i="15" s="1"/>
  <c r="J373" i="12"/>
  <c r="K382" i="21" s="1"/>
  <c r="I379" i="12"/>
  <c r="AD31" i="15"/>
  <c r="AF31" i="15"/>
  <c r="M128" i="12"/>
  <c r="AL67" i="15"/>
  <c r="AJ67" i="15"/>
  <c r="F116" i="17"/>
  <c r="F111" i="17"/>
  <c r="G111" i="17" s="1"/>
  <c r="H111" i="17" s="1"/>
  <c r="I111" i="17" s="1"/>
  <c r="F145" i="17"/>
  <c r="F140" i="17"/>
  <c r="G140" i="17" s="1"/>
  <c r="H140" i="17" s="1"/>
  <c r="I140" i="17" s="1"/>
  <c r="H537" i="12"/>
  <c r="I625" i="21"/>
  <c r="I382" i="12" l="1"/>
  <c r="I48" i="20" s="1"/>
  <c r="AC15" i="15"/>
  <c r="AA15" i="15"/>
  <c r="AA17" i="15"/>
  <c r="AC17" i="15"/>
  <c r="I378" i="14"/>
  <c r="H72" i="13" s="1"/>
  <c r="H70" i="13" s="1"/>
  <c r="I317" i="14"/>
  <c r="K208" i="21"/>
  <c r="K210" i="21"/>
  <c r="K212" i="21"/>
  <c r="L200" i="21"/>
  <c r="L202" i="21"/>
  <c r="L204" i="21"/>
  <c r="K200" i="21"/>
  <c r="K202" i="21"/>
  <c r="K204" i="21"/>
  <c r="K190" i="21"/>
  <c r="K181" i="12"/>
  <c r="K188" i="21"/>
  <c r="K186" i="21"/>
  <c r="K184" i="21"/>
  <c r="L171" i="12"/>
  <c r="M174" i="21"/>
  <c r="K139" i="12"/>
  <c r="L142" i="21"/>
  <c r="L134" i="21"/>
  <c r="K131" i="12"/>
  <c r="L125" i="12"/>
  <c r="K130" i="21"/>
  <c r="K128" i="21"/>
  <c r="K132" i="21"/>
  <c r="J43" i="12"/>
  <c r="K46" i="21"/>
  <c r="I253" i="14"/>
  <c r="H66" i="13" s="1"/>
  <c r="L53" i="12"/>
  <c r="L62" i="21"/>
  <c r="F844" i="21"/>
  <c r="E519" i="21"/>
  <c r="E869" i="21"/>
  <c r="F520" i="21"/>
  <c r="F856" i="21"/>
  <c r="F855" i="21" s="1"/>
  <c r="F858" i="21" s="1"/>
  <c r="F505" i="21"/>
  <c r="G505" i="21" s="1"/>
  <c r="H505" i="21" s="1"/>
  <c r="I505" i="21" s="1"/>
  <c r="G816" i="21"/>
  <c r="H813" i="21"/>
  <c r="H799" i="21"/>
  <c r="G802" i="21"/>
  <c r="H856" i="21"/>
  <c r="H520" i="21"/>
  <c r="G782" i="21"/>
  <c r="H779" i="21"/>
  <c r="H775" i="21"/>
  <c r="G778" i="21"/>
  <c r="G844" i="21"/>
  <c r="H841" i="21"/>
  <c r="E883" i="21"/>
  <c r="E886" i="21" s="1"/>
  <c r="E533" i="21"/>
  <c r="G912" i="21"/>
  <c r="G590" i="21"/>
  <c r="G604" i="21"/>
  <c r="G926" i="21"/>
  <c r="E897" i="21"/>
  <c r="E900" i="21" s="1"/>
  <c r="E547" i="21"/>
  <c r="H834" i="21"/>
  <c r="I831" i="21"/>
  <c r="I834" i="21" s="1"/>
  <c r="I17" i="21"/>
  <c r="H18" i="27" s="1"/>
  <c r="I18" i="21"/>
  <c r="H20" i="27" s="1"/>
  <c r="I19" i="21"/>
  <c r="H21" i="27" s="1"/>
  <c r="D25" i="27"/>
  <c r="D61" i="27" s="1"/>
  <c r="J96" i="21"/>
  <c r="J100" i="21"/>
  <c r="X22" i="15"/>
  <c r="AG71" i="15"/>
  <c r="AI71" i="15"/>
  <c r="K93" i="12"/>
  <c r="L93" i="12" s="1"/>
  <c r="J99" i="12"/>
  <c r="J114" i="21"/>
  <c r="J116" i="21"/>
  <c r="J112" i="21"/>
  <c r="K109" i="12"/>
  <c r="L118" i="21" s="1"/>
  <c r="J115" i="12"/>
  <c r="K37" i="12"/>
  <c r="J50" i="21"/>
  <c r="J48" i="21"/>
  <c r="J52" i="21"/>
  <c r="J120" i="21"/>
  <c r="J124" i="21"/>
  <c r="J122" i="21"/>
  <c r="J123" i="12"/>
  <c r="K117" i="12"/>
  <c r="L126" i="21" s="1"/>
  <c r="K96" i="21"/>
  <c r="K98" i="21"/>
  <c r="K100" i="21"/>
  <c r="K80" i="21"/>
  <c r="K82" i="21"/>
  <c r="K84" i="21"/>
  <c r="L77" i="12"/>
  <c r="M86" i="21" s="1"/>
  <c r="K83" i="12"/>
  <c r="J180" i="21"/>
  <c r="J176" i="21"/>
  <c r="J178" i="21"/>
  <c r="K173" i="12"/>
  <c r="L182" i="21" s="1"/>
  <c r="J179" i="12"/>
  <c r="J66" i="21"/>
  <c r="J64" i="21"/>
  <c r="J68" i="21"/>
  <c r="K61" i="12"/>
  <c r="L70" i="21" s="1"/>
  <c r="J67" i="12"/>
  <c r="G76" i="27"/>
  <c r="H48" i="20"/>
  <c r="H50" i="20" s="1"/>
  <c r="J36" i="21"/>
  <c r="J32" i="21"/>
  <c r="J34" i="21"/>
  <c r="G12" i="27"/>
  <c r="G15" i="27" s="1"/>
  <c r="G79" i="27" s="1"/>
  <c r="K21" i="12"/>
  <c r="L30" i="21" s="1"/>
  <c r="J27" i="12"/>
  <c r="L29" i="12"/>
  <c r="M38" i="21" s="1"/>
  <c r="K42" i="21"/>
  <c r="K40" i="21"/>
  <c r="K44" i="21"/>
  <c r="E117" i="17"/>
  <c r="E122" i="17"/>
  <c r="M32" i="12"/>
  <c r="N32" i="12" s="1"/>
  <c r="K164" i="21"/>
  <c r="K160" i="21"/>
  <c r="K162" i="21"/>
  <c r="L40" i="12"/>
  <c r="J28" i="21"/>
  <c r="J26" i="21"/>
  <c r="J24" i="21"/>
  <c r="M104" i="12"/>
  <c r="K35" i="12"/>
  <c r="L157" i="12"/>
  <c r="M166" i="21" s="1"/>
  <c r="K163" i="12"/>
  <c r="AF69" i="15"/>
  <c r="AD69" i="15"/>
  <c r="AD52" i="15"/>
  <c r="AF52" i="15"/>
  <c r="P57" i="21"/>
  <c r="O58" i="21"/>
  <c r="P58" i="21" s="1"/>
  <c r="E14" i="21"/>
  <c r="E13" i="21" s="1"/>
  <c r="D17" i="27"/>
  <c r="J106" i="21"/>
  <c r="J104" i="21"/>
  <c r="J108" i="21"/>
  <c r="AC53" i="15"/>
  <c r="AB57" i="15" s="1"/>
  <c r="AA53" i="15"/>
  <c r="AC72" i="15"/>
  <c r="AB76" i="15" s="1"/>
  <c r="AA72" i="15"/>
  <c r="AA75" i="15" s="1"/>
  <c r="K152" i="21"/>
  <c r="K156" i="21"/>
  <c r="K154" i="21"/>
  <c r="AA18" i="15"/>
  <c r="AC18" i="15"/>
  <c r="K101" i="12"/>
  <c r="L110" i="21" s="1"/>
  <c r="J107" i="12"/>
  <c r="L152" i="12"/>
  <c r="K155" i="12"/>
  <c r="L149" i="12"/>
  <c r="M158" i="21" s="1"/>
  <c r="E44" i="20"/>
  <c r="E46" i="20" s="1"/>
  <c r="N76" i="15"/>
  <c r="O57" i="15"/>
  <c r="O58" i="15" s="1"/>
  <c r="O59" i="15" s="1"/>
  <c r="K148" i="21"/>
  <c r="K146" i="21"/>
  <c r="K144" i="21"/>
  <c r="E151" i="17"/>
  <c r="E146" i="17"/>
  <c r="M64" i="12"/>
  <c r="K147" i="12"/>
  <c r="L141" i="12"/>
  <c r="M150" i="21" s="1"/>
  <c r="K38" i="15"/>
  <c r="L38" i="15" s="1"/>
  <c r="L76" i="15"/>
  <c r="L77" i="15" s="1"/>
  <c r="L78" i="15" s="1"/>
  <c r="E47" i="20" s="1"/>
  <c r="E50" i="20" s="1"/>
  <c r="Q57" i="15"/>
  <c r="T23" i="15"/>
  <c r="R23" i="15"/>
  <c r="R24" i="15" s="1"/>
  <c r="R25" i="15" s="1"/>
  <c r="AA37" i="15"/>
  <c r="AD29" i="15"/>
  <c r="AF29" i="15"/>
  <c r="AD51" i="15"/>
  <c r="AF51" i="15"/>
  <c r="AA19" i="15"/>
  <c r="AC19" i="15"/>
  <c r="AG32" i="15"/>
  <c r="AI32" i="15"/>
  <c r="AD30" i="15"/>
  <c r="AF30" i="15"/>
  <c r="AF48" i="15"/>
  <c r="AD48" i="15"/>
  <c r="K192" i="21"/>
  <c r="K196" i="21"/>
  <c r="K194" i="21"/>
  <c r="AD33" i="15"/>
  <c r="AF33" i="15"/>
  <c r="L59" i="12"/>
  <c r="M56" i="12"/>
  <c r="L189" i="12"/>
  <c r="AJ70" i="15"/>
  <c r="AL70" i="15"/>
  <c r="AB38" i="15"/>
  <c r="K197" i="12"/>
  <c r="L206" i="21" s="1"/>
  <c r="J203" i="12"/>
  <c r="M200" i="12"/>
  <c r="H65" i="13"/>
  <c r="G64" i="13"/>
  <c r="G73" i="13" s="1"/>
  <c r="N65" i="21"/>
  <c r="K195" i="12"/>
  <c r="AG16" i="15"/>
  <c r="AI16" i="15"/>
  <c r="AD49" i="15"/>
  <c r="AF49" i="15"/>
  <c r="F119" i="17"/>
  <c r="F114" i="17"/>
  <c r="G114" i="17" s="1"/>
  <c r="H114" i="17" s="1"/>
  <c r="I114" i="17" s="1"/>
  <c r="AI31" i="15"/>
  <c r="AG31" i="15"/>
  <c r="F139" i="15"/>
  <c r="H139" i="15"/>
  <c r="J376" i="21"/>
  <c r="J378" i="21"/>
  <c r="J380" i="21"/>
  <c r="K90" i="21"/>
  <c r="K92" i="21"/>
  <c r="K88" i="21"/>
  <c r="AL34" i="15"/>
  <c r="AJ34" i="15"/>
  <c r="H76" i="27"/>
  <c r="H12" i="27"/>
  <c r="H15" i="27" s="1"/>
  <c r="H79" i="27" s="1"/>
  <c r="H66" i="27"/>
  <c r="K187" i="12"/>
  <c r="L184" i="12"/>
  <c r="M192" i="12"/>
  <c r="AA56" i="15"/>
  <c r="I22" i="22"/>
  <c r="M96" i="12"/>
  <c r="F148" i="17"/>
  <c r="F143" i="17"/>
  <c r="G143" i="17" s="1"/>
  <c r="H143" i="17" s="1"/>
  <c r="I143" i="17" s="1"/>
  <c r="B49" i="18"/>
  <c r="L85" i="12"/>
  <c r="M94" i="21" s="1"/>
  <c r="K91" i="12"/>
  <c r="K72" i="21"/>
  <c r="K76" i="21"/>
  <c r="K74" i="21"/>
  <c r="N80" i="12"/>
  <c r="J253" i="14"/>
  <c r="I66" i="13" s="1"/>
  <c r="M56" i="21"/>
  <c r="N55" i="21"/>
  <c r="AM67" i="15"/>
  <c r="E138" i="15"/>
  <c r="K140" i="21"/>
  <c r="K138" i="21"/>
  <c r="K136" i="21"/>
  <c r="H22" i="22"/>
  <c r="M136" i="12"/>
  <c r="L69" i="12"/>
  <c r="M78" i="21" s="1"/>
  <c r="K75" i="12"/>
  <c r="N128" i="12"/>
  <c r="K373" i="12"/>
  <c r="L382" i="21" s="1"/>
  <c r="J379" i="12"/>
  <c r="AF50" i="15"/>
  <c r="AD50" i="15"/>
  <c r="L133" i="12"/>
  <c r="M142" i="21" s="1"/>
  <c r="O43" i="21"/>
  <c r="M165" i="12"/>
  <c r="H465" i="12"/>
  <c r="N168" i="12"/>
  <c r="O129" i="21"/>
  <c r="J386" i="21"/>
  <c r="J384" i="21"/>
  <c r="J388" i="21"/>
  <c r="C497" i="12"/>
  <c r="D497" i="12" s="1"/>
  <c r="D474" i="21"/>
  <c r="E471" i="21"/>
  <c r="L168" i="21"/>
  <c r="L170" i="21"/>
  <c r="L172" i="21"/>
  <c r="AC14" i="15"/>
  <c r="Y23" i="15"/>
  <c r="AA14" i="15"/>
  <c r="J382" i="12" l="1"/>
  <c r="J378" i="14"/>
  <c r="I72" i="13" s="1"/>
  <c r="I70" i="13" s="1"/>
  <c r="AD17" i="15"/>
  <c r="AF17" i="15"/>
  <c r="AD15" i="15"/>
  <c r="AF15" i="15"/>
  <c r="J317" i="14"/>
  <c r="I69" i="13" s="1"/>
  <c r="I67" i="13" s="1"/>
  <c r="H69" i="13"/>
  <c r="H67" i="13" s="1"/>
  <c r="L208" i="21"/>
  <c r="L210" i="21"/>
  <c r="L212" i="21"/>
  <c r="L195" i="12"/>
  <c r="M198" i="21"/>
  <c r="L190" i="21"/>
  <c r="L196" i="21" s="1"/>
  <c r="L181" i="12"/>
  <c r="L187" i="12" s="1"/>
  <c r="L188" i="21"/>
  <c r="L184" i="21"/>
  <c r="L186" i="21"/>
  <c r="M171" i="12"/>
  <c r="N174" i="21"/>
  <c r="M134" i="21"/>
  <c r="L131" i="12"/>
  <c r="M125" i="12"/>
  <c r="L130" i="21"/>
  <c r="L132" i="21"/>
  <c r="L128" i="21"/>
  <c r="L99" i="12"/>
  <c r="M102" i="21"/>
  <c r="K99" i="12"/>
  <c r="L102" i="21"/>
  <c r="K43" i="12"/>
  <c r="L46" i="21"/>
  <c r="J48" i="20"/>
  <c r="M62" i="21"/>
  <c r="M53" i="12"/>
  <c r="M59" i="12" s="1"/>
  <c r="G855" i="21"/>
  <c r="H855" i="21" s="1"/>
  <c r="D467" i="21"/>
  <c r="D470" i="21" s="1"/>
  <c r="D723" i="21"/>
  <c r="F870" i="21"/>
  <c r="F869" i="21" s="1"/>
  <c r="F548" i="21"/>
  <c r="F534" i="21"/>
  <c r="F519" i="21"/>
  <c r="G519" i="21" s="1"/>
  <c r="H519" i="21" s="1"/>
  <c r="I519" i="21" s="1"/>
  <c r="I813" i="21"/>
  <c r="I816" i="21" s="1"/>
  <c r="H816" i="21"/>
  <c r="I799" i="21"/>
  <c r="I802" i="21" s="1"/>
  <c r="H802" i="21"/>
  <c r="H778" i="21"/>
  <c r="I775" i="21"/>
  <c r="I778" i="21" s="1"/>
  <c r="H782" i="21"/>
  <c r="I779" i="21"/>
  <c r="I782" i="21" s="1"/>
  <c r="H548" i="21"/>
  <c r="H870" i="21"/>
  <c r="H534" i="21"/>
  <c r="E575" i="21"/>
  <c r="E925" i="21"/>
  <c r="E928" i="21" s="1"/>
  <c r="E911" i="21"/>
  <c r="E914" i="21" s="1"/>
  <c r="E561" i="21"/>
  <c r="G632" i="21"/>
  <c r="G954" i="21"/>
  <c r="G618" i="21"/>
  <c r="G940" i="21"/>
  <c r="H844" i="21"/>
  <c r="I841" i="21"/>
  <c r="I844" i="21" s="1"/>
  <c r="G858" i="21"/>
  <c r="J19" i="21"/>
  <c r="I21" i="27" s="1"/>
  <c r="J17" i="21"/>
  <c r="I18" i="27" s="1"/>
  <c r="J18" i="21"/>
  <c r="I20" i="27" s="1"/>
  <c r="AE38" i="15"/>
  <c r="AL71" i="15"/>
  <c r="AJ71" i="15"/>
  <c r="AA22" i="15"/>
  <c r="L109" i="12"/>
  <c r="M118" i="21" s="1"/>
  <c r="K115" i="12"/>
  <c r="K114" i="21"/>
  <c r="K112" i="21"/>
  <c r="K116" i="21"/>
  <c r="L37" i="12"/>
  <c r="K50" i="21"/>
  <c r="K48" i="21"/>
  <c r="K52" i="21"/>
  <c r="M77" i="12"/>
  <c r="N86" i="21" s="1"/>
  <c r="L83" i="12"/>
  <c r="K67" i="12"/>
  <c r="L61" i="12"/>
  <c r="M70" i="21" s="1"/>
  <c r="M93" i="12"/>
  <c r="K176" i="21"/>
  <c r="K180" i="21"/>
  <c r="K178" i="21"/>
  <c r="K122" i="21"/>
  <c r="K120" i="21"/>
  <c r="K124" i="21"/>
  <c r="I11" i="27"/>
  <c r="I76" i="27" s="1"/>
  <c r="K66" i="21"/>
  <c r="K68" i="21"/>
  <c r="K64" i="21"/>
  <c r="L96" i="21"/>
  <c r="L98" i="21"/>
  <c r="L100" i="21"/>
  <c r="L84" i="21"/>
  <c r="L82" i="21"/>
  <c r="L80" i="21"/>
  <c r="K123" i="12"/>
  <c r="L117" i="12"/>
  <c r="M126" i="21" s="1"/>
  <c r="K179" i="12"/>
  <c r="L173" i="12"/>
  <c r="M182" i="21" s="1"/>
  <c r="K34" i="21"/>
  <c r="K32" i="21"/>
  <c r="K36" i="21"/>
  <c r="L21" i="12"/>
  <c r="M30" i="21" s="1"/>
  <c r="K27" i="12"/>
  <c r="T57" i="15"/>
  <c r="W23" i="15"/>
  <c r="U23" i="15"/>
  <c r="AD37" i="15"/>
  <c r="Q76" i="15"/>
  <c r="R57" i="15"/>
  <c r="R58" i="15" s="1"/>
  <c r="R59" i="15" s="1"/>
  <c r="G44" i="20" s="1"/>
  <c r="G46" i="20" s="1"/>
  <c r="E120" i="17"/>
  <c r="E125" i="17"/>
  <c r="M152" i="12"/>
  <c r="L155" i="12"/>
  <c r="AI52" i="15"/>
  <c r="AG52" i="15"/>
  <c r="L160" i="21"/>
  <c r="L164" i="21"/>
  <c r="L162" i="21"/>
  <c r="L156" i="21"/>
  <c r="L154" i="21"/>
  <c r="L152" i="21"/>
  <c r="AD53" i="15"/>
  <c r="AD56" i="15" s="1"/>
  <c r="AF53" i="15"/>
  <c r="AE57" i="15" s="1"/>
  <c r="N64" i="12"/>
  <c r="L39" i="15"/>
  <c r="L40" i="15" s="1"/>
  <c r="F16" i="21" s="1"/>
  <c r="E154" i="17"/>
  <c r="E149" i="17"/>
  <c r="F44" i="20"/>
  <c r="F46" i="20" s="1"/>
  <c r="K104" i="21"/>
  <c r="K106" i="21"/>
  <c r="K108" i="21"/>
  <c r="AD72" i="15"/>
  <c r="AD75" i="15" s="1"/>
  <c r="AF72" i="15"/>
  <c r="AE76" i="15" s="1"/>
  <c r="M157" i="12"/>
  <c r="N166" i="21" s="1"/>
  <c r="L163" i="12"/>
  <c r="M29" i="12"/>
  <c r="N38" i="21" s="1"/>
  <c r="K26" i="21"/>
  <c r="K28" i="21"/>
  <c r="K24" i="21"/>
  <c r="L144" i="21"/>
  <c r="L146" i="21"/>
  <c r="L148" i="21"/>
  <c r="O76" i="15"/>
  <c r="O77" i="15" s="1"/>
  <c r="O78" i="15" s="1"/>
  <c r="F47" i="20" s="1"/>
  <c r="F50" i="20" s="1"/>
  <c r="N38" i="15"/>
  <c r="O38" i="15" s="1"/>
  <c r="O39" i="15" s="1"/>
  <c r="O40" i="15" s="1"/>
  <c r="G16" i="21" s="1"/>
  <c r="L101" i="12"/>
  <c r="M110" i="21" s="1"/>
  <c r="K107" i="12"/>
  <c r="AI69" i="15"/>
  <c r="AG69" i="15"/>
  <c r="L42" i="21"/>
  <c r="L40" i="21"/>
  <c r="L44" i="21"/>
  <c r="M149" i="12"/>
  <c r="N158" i="21" s="1"/>
  <c r="M141" i="12"/>
  <c r="N150" i="21" s="1"/>
  <c r="L147" i="12"/>
  <c r="E25" i="27"/>
  <c r="E61" i="27" s="1"/>
  <c r="AD18" i="15"/>
  <c r="AF18" i="15"/>
  <c r="M40" i="12"/>
  <c r="L35" i="12"/>
  <c r="E467" i="21"/>
  <c r="N104" i="12"/>
  <c r="AG29" i="15"/>
  <c r="AI29" i="15"/>
  <c r="AD19" i="15"/>
  <c r="AF19" i="15"/>
  <c r="AG51" i="15"/>
  <c r="AI51" i="15"/>
  <c r="AJ32" i="15"/>
  <c r="AL32" i="15"/>
  <c r="AI30" i="15"/>
  <c r="AG30" i="15"/>
  <c r="AG48" i="15"/>
  <c r="AI48" i="15"/>
  <c r="M184" i="12"/>
  <c r="E108" i="15"/>
  <c r="AM34" i="15"/>
  <c r="AN34" i="15" s="1"/>
  <c r="AI49" i="15"/>
  <c r="AG49" i="15"/>
  <c r="O65" i="21"/>
  <c r="L197" i="12"/>
  <c r="M206" i="21" s="1"/>
  <c r="K203" i="12"/>
  <c r="P43" i="21"/>
  <c r="D443" i="21" s="1"/>
  <c r="F471" i="21"/>
  <c r="AI50" i="15"/>
  <c r="AG50" i="15"/>
  <c r="L139" i="12"/>
  <c r="C457" i="12"/>
  <c r="D457" i="12" s="1"/>
  <c r="F151" i="17"/>
  <c r="F146" i="17"/>
  <c r="G146" i="17" s="1"/>
  <c r="H146" i="17" s="1"/>
  <c r="I146" i="17" s="1"/>
  <c r="AJ31" i="15"/>
  <c r="AL31" i="15"/>
  <c r="K380" i="21"/>
  <c r="K378" i="21"/>
  <c r="K376" i="21"/>
  <c r="I50" i="20"/>
  <c r="P129" i="21"/>
  <c r="D593" i="21" s="1"/>
  <c r="N165" i="12"/>
  <c r="O165" i="12" s="1"/>
  <c r="C505" i="12"/>
  <c r="D505" i="12" s="1"/>
  <c r="N136" i="12"/>
  <c r="M172" i="21"/>
  <c r="M170" i="21"/>
  <c r="M168" i="21"/>
  <c r="F138" i="15"/>
  <c r="H138" i="15"/>
  <c r="B50" i="18"/>
  <c r="AL16" i="15"/>
  <c r="AJ16" i="15"/>
  <c r="H64" i="13"/>
  <c r="I65" i="13"/>
  <c r="I64" i="13" s="1"/>
  <c r="N56" i="21"/>
  <c r="O55" i="21"/>
  <c r="M85" i="12"/>
  <c r="N94" i="21" s="1"/>
  <c r="L91" i="12"/>
  <c r="AM70" i="15"/>
  <c r="AN70" i="15" s="1"/>
  <c r="E141" i="15"/>
  <c r="E497" i="12"/>
  <c r="L373" i="12"/>
  <c r="M382" i="21" s="1"/>
  <c r="K379" i="12"/>
  <c r="N96" i="12"/>
  <c r="F122" i="17"/>
  <c r="F117" i="17"/>
  <c r="G117" i="17" s="1"/>
  <c r="H117" i="17" s="1"/>
  <c r="I117" i="17" s="1"/>
  <c r="L192" i="21"/>
  <c r="AI33" i="15"/>
  <c r="AG33" i="15"/>
  <c r="C545" i="12"/>
  <c r="D545" i="12" s="1"/>
  <c r="M133" i="12"/>
  <c r="N142" i="21" s="1"/>
  <c r="L136" i="21"/>
  <c r="L138" i="21"/>
  <c r="L140" i="21"/>
  <c r="L74" i="21"/>
  <c r="L72" i="21"/>
  <c r="L76" i="21"/>
  <c r="AN67" i="15"/>
  <c r="K388" i="21"/>
  <c r="K384" i="21"/>
  <c r="K386" i="21"/>
  <c r="K139" i="15"/>
  <c r="I139" i="15"/>
  <c r="N200" i="12"/>
  <c r="M189" i="12"/>
  <c r="N56" i="12"/>
  <c r="AB23" i="15"/>
  <c r="AD14" i="15"/>
  <c r="AF14" i="15"/>
  <c r="M69" i="12"/>
  <c r="N78" i="21" s="1"/>
  <c r="L75" i="12"/>
  <c r="L90" i="21"/>
  <c r="L88" i="21"/>
  <c r="L92" i="21"/>
  <c r="N192" i="12"/>
  <c r="L194" i="21" l="1"/>
  <c r="K382" i="12"/>
  <c r="K11" i="27" s="1"/>
  <c r="I73" i="13"/>
  <c r="AG15" i="15"/>
  <c r="AI15" i="15"/>
  <c r="H73" i="13"/>
  <c r="AI17" i="15"/>
  <c r="AG17" i="15"/>
  <c r="M208" i="21"/>
  <c r="M210" i="21"/>
  <c r="M212" i="21"/>
  <c r="M200" i="21"/>
  <c r="M202" i="21"/>
  <c r="M204" i="21"/>
  <c r="M195" i="12"/>
  <c r="N198" i="21"/>
  <c r="M190" i="21"/>
  <c r="M192" i="21" s="1"/>
  <c r="M181" i="12"/>
  <c r="M187" i="12" s="1"/>
  <c r="M188" i="21"/>
  <c r="M186" i="21"/>
  <c r="M184" i="21"/>
  <c r="N171" i="12"/>
  <c r="O171" i="12" s="1"/>
  <c r="O174" i="21"/>
  <c r="N134" i="21"/>
  <c r="M131" i="12"/>
  <c r="N125" i="12"/>
  <c r="O125" i="12" s="1"/>
  <c r="M132" i="21"/>
  <c r="M130" i="21"/>
  <c r="M128" i="21"/>
  <c r="M99" i="12"/>
  <c r="N102" i="21"/>
  <c r="L43" i="12"/>
  <c r="M46" i="21"/>
  <c r="C409" i="12"/>
  <c r="D409" i="12" s="1"/>
  <c r="E409" i="12" s="1"/>
  <c r="F409" i="12" s="1"/>
  <c r="G409" i="12" s="1"/>
  <c r="H409" i="12" s="1"/>
  <c r="N53" i="12"/>
  <c r="N62" i="21"/>
  <c r="F884" i="21"/>
  <c r="F883" i="21" s="1"/>
  <c r="F562" i="21"/>
  <c r="F576" i="21"/>
  <c r="F898" i="21"/>
  <c r="F897" i="21" s="1"/>
  <c r="F900" i="21" s="1"/>
  <c r="F561" i="21"/>
  <c r="G561" i="21" s="1"/>
  <c r="F533" i="21"/>
  <c r="G533" i="21" s="1"/>
  <c r="H533" i="21" s="1"/>
  <c r="I533" i="21" s="1"/>
  <c r="G869" i="21"/>
  <c r="F547" i="21"/>
  <c r="G547" i="21" s="1"/>
  <c r="H547" i="21" s="1"/>
  <c r="I547" i="21" s="1"/>
  <c r="E723" i="21"/>
  <c r="H576" i="21"/>
  <c r="H898" i="21"/>
  <c r="H884" i="21"/>
  <c r="H562" i="21"/>
  <c r="I855" i="21"/>
  <c r="I858" i="21" s="1"/>
  <c r="H858" i="21"/>
  <c r="G660" i="21"/>
  <c r="G982" i="21"/>
  <c r="E953" i="21"/>
  <c r="E956" i="21" s="1"/>
  <c r="E603" i="21"/>
  <c r="G968" i="21"/>
  <c r="G646" i="21"/>
  <c r="E939" i="21"/>
  <c r="E942" i="21" s="1"/>
  <c r="E589" i="21"/>
  <c r="K19" i="21"/>
  <c r="J21" i="27" s="1"/>
  <c r="K18" i="21"/>
  <c r="J20" i="27" s="1"/>
  <c r="K17" i="21"/>
  <c r="J18" i="27" s="1"/>
  <c r="AH38" i="15"/>
  <c r="AM71" i="15"/>
  <c r="AN71" i="15" s="1"/>
  <c r="E142" i="15"/>
  <c r="F25" i="27"/>
  <c r="F61" i="27" s="1"/>
  <c r="L115" i="12"/>
  <c r="M109" i="12"/>
  <c r="N118" i="21" s="1"/>
  <c r="L114" i="21"/>
  <c r="L116" i="21"/>
  <c r="L112" i="21"/>
  <c r="I12" i="27"/>
  <c r="I15" i="27" s="1"/>
  <c r="I79" i="27" s="1"/>
  <c r="I66" i="27"/>
  <c r="M37" i="12"/>
  <c r="N46" i="21" s="1"/>
  <c r="L50" i="21"/>
  <c r="L48" i="21"/>
  <c r="L52" i="21"/>
  <c r="L179" i="12"/>
  <c r="M173" i="12"/>
  <c r="N182" i="21" s="1"/>
  <c r="M98" i="21"/>
  <c r="M96" i="21"/>
  <c r="M100" i="21"/>
  <c r="N93" i="12"/>
  <c r="L67" i="12"/>
  <c r="M61" i="12"/>
  <c r="N70" i="21" s="1"/>
  <c r="L66" i="21"/>
  <c r="L64" i="21"/>
  <c r="L68" i="21"/>
  <c r="J11" i="27"/>
  <c r="J12" i="27" s="1"/>
  <c r="J15" i="27" s="1"/>
  <c r="J79" i="27" s="1"/>
  <c r="L176" i="21"/>
  <c r="L178" i="21"/>
  <c r="L180" i="21"/>
  <c r="M80" i="21"/>
  <c r="M84" i="21"/>
  <c r="M82" i="21"/>
  <c r="L124" i="21"/>
  <c r="L120" i="21"/>
  <c r="L122" i="21"/>
  <c r="M117" i="12"/>
  <c r="N126" i="21" s="1"/>
  <c r="L123" i="12"/>
  <c r="N77" i="12"/>
  <c r="M83" i="12"/>
  <c r="L34" i="21"/>
  <c r="L32" i="21"/>
  <c r="L36" i="21"/>
  <c r="M21" i="12"/>
  <c r="N30" i="21" s="1"/>
  <c r="L27" i="12"/>
  <c r="E128" i="17"/>
  <c r="E126" i="17" s="1"/>
  <c r="E123" i="17"/>
  <c r="M101" i="12"/>
  <c r="N110" i="21" s="1"/>
  <c r="L107" i="12"/>
  <c r="E17" i="27"/>
  <c r="F14" i="21"/>
  <c r="F13" i="21" s="1"/>
  <c r="AI18" i="15"/>
  <c r="AG18" i="15"/>
  <c r="N149" i="12"/>
  <c r="M162" i="21"/>
  <c r="M164" i="21"/>
  <c r="M160" i="21"/>
  <c r="AJ52" i="15"/>
  <c r="AL52" i="15"/>
  <c r="U24" i="15"/>
  <c r="U25" i="15" s="1"/>
  <c r="M152" i="21"/>
  <c r="M156" i="21"/>
  <c r="M154" i="21"/>
  <c r="M35" i="12"/>
  <c r="N29" i="12"/>
  <c r="N157" i="12"/>
  <c r="O157" i="12" s="1"/>
  <c r="M163" i="12"/>
  <c r="W57" i="15"/>
  <c r="Z23" i="15"/>
  <c r="X23" i="15"/>
  <c r="X24" i="15" s="1"/>
  <c r="X25" i="15" s="1"/>
  <c r="F467" i="21"/>
  <c r="L106" i="21"/>
  <c r="L108" i="21"/>
  <c r="L104" i="21"/>
  <c r="E152" i="17"/>
  <c r="E157" i="17"/>
  <c r="E155" i="17" s="1"/>
  <c r="C481" i="12"/>
  <c r="D481" i="12" s="1"/>
  <c r="M40" i="21"/>
  <c r="M42" i="21"/>
  <c r="M44" i="21"/>
  <c r="T76" i="15"/>
  <c r="U57" i="15"/>
  <c r="U58" i="15" s="1"/>
  <c r="U59" i="15" s="1"/>
  <c r="H44" i="20" s="1"/>
  <c r="H46" i="20" s="1"/>
  <c r="AI53" i="15"/>
  <c r="AG53" i="15"/>
  <c r="AD22" i="15"/>
  <c r="AG72" i="15"/>
  <c r="AG75" i="15" s="1"/>
  <c r="AI72" i="15"/>
  <c r="C441" i="12"/>
  <c r="D441" i="12" s="1"/>
  <c r="L28" i="21"/>
  <c r="L26" i="21"/>
  <c r="L24" i="21"/>
  <c r="N40" i="12"/>
  <c r="M146" i="21"/>
  <c r="M148" i="21"/>
  <c r="M144" i="21"/>
  <c r="AL69" i="15"/>
  <c r="AJ69" i="15"/>
  <c r="AH76" i="15"/>
  <c r="F17" i="27"/>
  <c r="G14" i="21"/>
  <c r="G13" i="21" s="1"/>
  <c r="N141" i="12"/>
  <c r="M147" i="12"/>
  <c r="N152" i="12"/>
  <c r="M155" i="12"/>
  <c r="Q38" i="15"/>
  <c r="R38" i="15" s="1"/>
  <c r="R39" i="15" s="1"/>
  <c r="R40" i="15" s="1"/>
  <c r="H16" i="21" s="1"/>
  <c r="R76" i="15"/>
  <c r="R77" i="15" s="1"/>
  <c r="R78" i="15" s="1"/>
  <c r="AJ29" i="15"/>
  <c r="AL29" i="15"/>
  <c r="AL51" i="15"/>
  <c r="AJ51" i="15"/>
  <c r="AI19" i="15"/>
  <c r="AG19" i="15"/>
  <c r="AG37" i="15"/>
  <c r="AM32" i="15"/>
  <c r="AN32" i="15" s="1"/>
  <c r="E106" i="15"/>
  <c r="AL30" i="15"/>
  <c r="AJ30" i="15"/>
  <c r="AL48" i="15"/>
  <c r="AJ48" i="15"/>
  <c r="C473" i="12"/>
  <c r="D473" i="12" s="1"/>
  <c r="L388" i="21"/>
  <c r="L386" i="21"/>
  <c r="L384" i="21"/>
  <c r="M88" i="21"/>
  <c r="M90" i="21"/>
  <c r="M92" i="21"/>
  <c r="I138" i="15"/>
  <c r="K138" i="15"/>
  <c r="C513" i="12"/>
  <c r="D513" i="12" s="1"/>
  <c r="E593" i="21"/>
  <c r="G471" i="21"/>
  <c r="L380" i="21"/>
  <c r="L376" i="21"/>
  <c r="L378" i="21"/>
  <c r="H108" i="15"/>
  <c r="F108" i="15"/>
  <c r="E545" i="12"/>
  <c r="N85" i="12"/>
  <c r="M91" i="12"/>
  <c r="B51" i="18"/>
  <c r="M136" i="21"/>
  <c r="M140" i="21"/>
  <c r="M138" i="21"/>
  <c r="M373" i="12"/>
  <c r="N382" i="21" s="1"/>
  <c r="L379" i="12"/>
  <c r="P55" i="21"/>
  <c r="O56" i="21"/>
  <c r="P56" i="21" s="1"/>
  <c r="P65" i="21"/>
  <c r="D481" i="21" s="1"/>
  <c r="N184" i="12"/>
  <c r="N189" i="12"/>
  <c r="O189" i="12" s="1"/>
  <c r="N133" i="12"/>
  <c r="O133" i="12" s="1"/>
  <c r="F497" i="12"/>
  <c r="C569" i="12"/>
  <c r="D569" i="12" s="1"/>
  <c r="M76" i="21"/>
  <c r="M74" i="21"/>
  <c r="M72" i="21"/>
  <c r="C577" i="12"/>
  <c r="D577" i="12" s="1"/>
  <c r="E505" i="12"/>
  <c r="AM31" i="15"/>
  <c r="E105" i="15"/>
  <c r="AK38" i="15"/>
  <c r="E443" i="21"/>
  <c r="AG56" i="15"/>
  <c r="AI14" i="15"/>
  <c r="AE23" i="15"/>
  <c r="AG14" i="15"/>
  <c r="AJ33" i="15"/>
  <c r="AL33" i="15"/>
  <c r="F125" i="17"/>
  <c r="F120" i="17"/>
  <c r="G120" i="17" s="1"/>
  <c r="H120" i="17" s="1"/>
  <c r="I120" i="17" s="1"/>
  <c r="H141" i="15"/>
  <c r="F141" i="15"/>
  <c r="N170" i="21"/>
  <c r="N168" i="21"/>
  <c r="N172" i="21"/>
  <c r="AJ50" i="15"/>
  <c r="AL50" i="15"/>
  <c r="AL49" i="15"/>
  <c r="AJ49" i="15"/>
  <c r="AH57" i="15"/>
  <c r="L139" i="15"/>
  <c r="N139" i="15"/>
  <c r="AM16" i="15"/>
  <c r="AN16" i="15" s="1"/>
  <c r="E90" i="15"/>
  <c r="C542" i="12"/>
  <c r="D542" i="12" s="1"/>
  <c r="E672" i="21" s="1"/>
  <c r="E457" i="12"/>
  <c r="M75" i="12"/>
  <c r="N69" i="12"/>
  <c r="M139" i="12"/>
  <c r="F154" i="17"/>
  <c r="F149" i="17"/>
  <c r="G149" i="17" s="1"/>
  <c r="H149" i="17" s="1"/>
  <c r="I149" i="17" s="1"/>
  <c r="M197" i="12"/>
  <c r="N206" i="21" s="1"/>
  <c r="L203" i="12"/>
  <c r="O38" i="21" l="1"/>
  <c r="O29" i="12"/>
  <c r="O62" i="21"/>
  <c r="O53" i="12"/>
  <c r="O78" i="21"/>
  <c r="O69" i="12"/>
  <c r="O86" i="21"/>
  <c r="O77" i="12"/>
  <c r="C454" i="12" s="1"/>
  <c r="D454" i="12" s="1"/>
  <c r="E518" i="21" s="1"/>
  <c r="O94" i="21"/>
  <c r="O85" i="12"/>
  <c r="O102" i="21"/>
  <c r="O93" i="12"/>
  <c r="C470" i="12" s="1"/>
  <c r="D470" i="12" s="1"/>
  <c r="O150" i="21"/>
  <c r="O141" i="12"/>
  <c r="C518" i="12" s="1"/>
  <c r="D518" i="12" s="1"/>
  <c r="E630" i="21" s="1"/>
  <c r="O158" i="21"/>
  <c r="O149" i="12"/>
  <c r="C526" i="12" s="1"/>
  <c r="D526" i="12" s="1"/>
  <c r="E644" i="21" s="1"/>
  <c r="M196" i="21"/>
  <c r="M194" i="21"/>
  <c r="AJ17" i="15"/>
  <c r="AL17" i="15"/>
  <c r="AL15" i="15"/>
  <c r="AJ15" i="15"/>
  <c r="N59" i="12"/>
  <c r="O59" i="12" s="1"/>
  <c r="C430" i="12"/>
  <c r="D430" i="12" s="1"/>
  <c r="E430" i="12" s="1"/>
  <c r="N208" i="21"/>
  <c r="N210" i="21"/>
  <c r="N212" i="21"/>
  <c r="N195" i="12"/>
  <c r="O195" i="12" s="1"/>
  <c r="O198" i="21"/>
  <c r="N200" i="21"/>
  <c r="N202" i="21"/>
  <c r="N204" i="21"/>
  <c r="N190" i="21"/>
  <c r="N192" i="21" s="1"/>
  <c r="N181" i="12"/>
  <c r="N186" i="21"/>
  <c r="N188" i="21"/>
  <c r="N184" i="21"/>
  <c r="C534" i="12"/>
  <c r="D534" i="12" s="1"/>
  <c r="E658" i="21" s="1"/>
  <c r="O166" i="21"/>
  <c r="O172" i="21" s="1"/>
  <c r="P172" i="21" s="1"/>
  <c r="N139" i="12"/>
  <c r="O139" i="12" s="1"/>
  <c r="O142" i="21"/>
  <c r="O134" i="21"/>
  <c r="N131" i="12"/>
  <c r="O131" i="12" s="1"/>
  <c r="C502" i="12"/>
  <c r="D502" i="12" s="1"/>
  <c r="N130" i="21"/>
  <c r="N128" i="21"/>
  <c r="N132" i="21"/>
  <c r="L382" i="12"/>
  <c r="C433" i="12"/>
  <c r="D433" i="12" s="1"/>
  <c r="H869" i="21"/>
  <c r="G897" i="21"/>
  <c r="G900" i="21" s="1"/>
  <c r="F723" i="21"/>
  <c r="F604" i="21"/>
  <c r="F926" i="21"/>
  <c r="F925" i="21" s="1"/>
  <c r="G925" i="21" s="1"/>
  <c r="F590" i="21"/>
  <c r="F912" i="21"/>
  <c r="F911" i="21" s="1"/>
  <c r="G911" i="21" s="1"/>
  <c r="G883" i="21"/>
  <c r="G886" i="21" s="1"/>
  <c r="F886" i="21"/>
  <c r="D463" i="21"/>
  <c r="D719" i="21"/>
  <c r="F575" i="21"/>
  <c r="G575" i="21" s="1"/>
  <c r="H575" i="21" s="1"/>
  <c r="I575" i="21" s="1"/>
  <c r="H912" i="21"/>
  <c r="H590" i="21"/>
  <c r="H561" i="21"/>
  <c r="I561" i="21" s="1"/>
  <c r="H926" i="21"/>
  <c r="H604" i="21"/>
  <c r="G688" i="21"/>
  <c r="G1010" i="21"/>
  <c r="G674" i="21"/>
  <c r="G996" i="21"/>
  <c r="E967" i="21"/>
  <c r="E970" i="21" s="1"/>
  <c r="E617" i="21"/>
  <c r="E981" i="21"/>
  <c r="E984" i="21" s="1"/>
  <c r="E631" i="21"/>
  <c r="L18" i="21"/>
  <c r="K20" i="27" s="1"/>
  <c r="L19" i="21"/>
  <c r="K21" i="27" s="1"/>
  <c r="L17" i="21"/>
  <c r="K18" i="27" s="1"/>
  <c r="H142" i="15"/>
  <c r="F142" i="15"/>
  <c r="J66" i="27"/>
  <c r="N99" i="12"/>
  <c r="O99" i="12" s="1"/>
  <c r="M114" i="21"/>
  <c r="M112" i="21"/>
  <c r="M116" i="21"/>
  <c r="M115" i="12"/>
  <c r="N109" i="12"/>
  <c r="N37" i="12"/>
  <c r="M48" i="21"/>
  <c r="M52" i="21"/>
  <c r="M50" i="21"/>
  <c r="M43" i="12"/>
  <c r="J76" i="27"/>
  <c r="N173" i="12"/>
  <c r="M179" i="12"/>
  <c r="M123" i="12"/>
  <c r="N117" i="12"/>
  <c r="M67" i="12"/>
  <c r="N61" i="12"/>
  <c r="M176" i="21"/>
  <c r="M178" i="21"/>
  <c r="M180" i="21"/>
  <c r="N96" i="21"/>
  <c r="N98" i="21"/>
  <c r="N100" i="21"/>
  <c r="D742" i="12"/>
  <c r="E1022" i="21" s="1"/>
  <c r="P94" i="21"/>
  <c r="M124" i="21"/>
  <c r="M122" i="21"/>
  <c r="M120" i="21"/>
  <c r="M66" i="21"/>
  <c r="M68" i="21"/>
  <c r="M64" i="21"/>
  <c r="N83" i="12"/>
  <c r="O83" i="12" s="1"/>
  <c r="O98" i="21"/>
  <c r="O96" i="21"/>
  <c r="O100" i="21"/>
  <c r="N84" i="21"/>
  <c r="N80" i="21"/>
  <c r="N82" i="21"/>
  <c r="M32" i="21"/>
  <c r="M36" i="21"/>
  <c r="M34" i="21"/>
  <c r="M27" i="12"/>
  <c r="N21" i="12"/>
  <c r="O21" i="12" s="1"/>
  <c r="K48" i="20"/>
  <c r="T38" i="15"/>
  <c r="U38" i="15" s="1"/>
  <c r="U39" i="15" s="1"/>
  <c r="U40" i="15" s="1"/>
  <c r="I16" i="21" s="1"/>
  <c r="U76" i="15"/>
  <c r="U77" i="15" s="1"/>
  <c r="U78" i="15" s="1"/>
  <c r="Z57" i="15"/>
  <c r="AC23" i="15"/>
  <c r="AA23" i="15"/>
  <c r="AA24" i="15" s="1"/>
  <c r="AA25" i="15" s="1"/>
  <c r="N42" i="21"/>
  <c r="N40" i="21"/>
  <c r="N44" i="21"/>
  <c r="G17" i="27"/>
  <c r="H14" i="21"/>
  <c r="H13" i="21" s="1"/>
  <c r="W76" i="15"/>
  <c r="X57" i="15"/>
  <c r="X58" i="15" s="1"/>
  <c r="X59" i="15" s="1"/>
  <c r="I44" i="20" s="1"/>
  <c r="I46" i="20" s="1"/>
  <c r="N35" i="12"/>
  <c r="O35" i="12" s="1"/>
  <c r="E125" i="15"/>
  <c r="AM52" i="15"/>
  <c r="AN52" i="15" s="1"/>
  <c r="N154" i="21"/>
  <c r="N156" i="21"/>
  <c r="N152" i="21"/>
  <c r="C529" i="12"/>
  <c r="D529" i="12" s="1"/>
  <c r="N155" i="12"/>
  <c r="O155" i="12" s="1"/>
  <c r="N146" i="21"/>
  <c r="N148" i="21"/>
  <c r="N144" i="21"/>
  <c r="M104" i="21"/>
  <c r="M108" i="21"/>
  <c r="M106" i="21"/>
  <c r="AL18" i="15"/>
  <c r="AJ18" i="15"/>
  <c r="N101" i="12"/>
  <c r="M107" i="12"/>
  <c r="N147" i="12"/>
  <c r="O147" i="12" s="1"/>
  <c r="E441" i="12"/>
  <c r="E481" i="12"/>
  <c r="N160" i="21"/>
  <c r="N164" i="21"/>
  <c r="N162" i="21"/>
  <c r="AL53" i="15"/>
  <c r="AK57" i="15" s="1"/>
  <c r="AJ53" i="15"/>
  <c r="AJ56" i="15" s="1"/>
  <c r="G467" i="21"/>
  <c r="M24" i="21"/>
  <c r="M28" i="21"/>
  <c r="M26" i="21"/>
  <c r="E140" i="15"/>
  <c r="AM69" i="15"/>
  <c r="AL72" i="15"/>
  <c r="AK76" i="15" s="1"/>
  <c r="AJ72" i="15"/>
  <c r="AJ75" i="15" s="1"/>
  <c r="N163" i="12"/>
  <c r="O163" i="12" s="1"/>
  <c r="E103" i="15"/>
  <c r="AM29" i="15"/>
  <c r="AN29" i="15" s="1"/>
  <c r="AG22" i="15"/>
  <c r="AJ19" i="15"/>
  <c r="AL19" i="15"/>
  <c r="AJ37" i="15"/>
  <c r="E124" i="15"/>
  <c r="AM51" i="15"/>
  <c r="AN51" i="15" s="1"/>
  <c r="H106" i="15"/>
  <c r="F106" i="15"/>
  <c r="E104" i="15"/>
  <c r="AM30" i="15"/>
  <c r="AN30" i="15" s="1"/>
  <c r="AM48" i="15"/>
  <c r="AN48" i="15" s="1"/>
  <c r="E121" i="15"/>
  <c r="D466" i="21"/>
  <c r="E463" i="21"/>
  <c r="H105" i="15"/>
  <c r="F105" i="15"/>
  <c r="N136" i="21"/>
  <c r="N138" i="21"/>
  <c r="N140" i="21"/>
  <c r="C561" i="12"/>
  <c r="D561" i="12" s="1"/>
  <c r="AM49" i="15"/>
  <c r="E122" i="15"/>
  <c r="N138" i="15"/>
  <c r="L138" i="15"/>
  <c r="AM33" i="15"/>
  <c r="AN33" i="15" s="1"/>
  <c r="E107" i="15"/>
  <c r="AN31" i="15"/>
  <c r="M379" i="12"/>
  <c r="N373" i="12"/>
  <c r="O373" i="12" s="1"/>
  <c r="N92" i="21"/>
  <c r="N90" i="21"/>
  <c r="N88" i="21"/>
  <c r="E513" i="12"/>
  <c r="F593" i="21"/>
  <c r="F128" i="17"/>
  <c r="F126" i="17" s="1"/>
  <c r="G126" i="17" s="1"/>
  <c r="H126" i="17" s="1"/>
  <c r="I126" i="17" s="1"/>
  <c r="F123" i="17"/>
  <c r="G123" i="17" s="1"/>
  <c r="H123" i="17" s="1"/>
  <c r="I123" i="17" s="1"/>
  <c r="Q139" i="15"/>
  <c r="R139" i="15" s="1"/>
  <c r="O139" i="15"/>
  <c r="AJ14" i="15"/>
  <c r="AL14" i="15"/>
  <c r="AH23" i="15"/>
  <c r="E577" i="12"/>
  <c r="E481" i="21"/>
  <c r="M384" i="21"/>
  <c r="M388" i="21"/>
  <c r="M386" i="21"/>
  <c r="N91" i="12"/>
  <c r="O91" i="12" s="1"/>
  <c r="C462" i="12"/>
  <c r="D462" i="12" s="1"/>
  <c r="E532" i="21" s="1"/>
  <c r="K12" i="27"/>
  <c r="K15" i="27" s="1"/>
  <c r="K79" i="27" s="1"/>
  <c r="K76" i="27"/>
  <c r="K66" i="27"/>
  <c r="M376" i="21"/>
  <c r="M380" i="21"/>
  <c r="M378" i="21"/>
  <c r="H90" i="15"/>
  <c r="F90" i="15"/>
  <c r="AM50" i="15"/>
  <c r="AN50" i="15" s="1"/>
  <c r="E123" i="15"/>
  <c r="E569" i="12"/>
  <c r="N194" i="21"/>
  <c r="B52" i="18"/>
  <c r="F545" i="12"/>
  <c r="K108" i="15"/>
  <c r="I108" i="15"/>
  <c r="H471" i="21"/>
  <c r="E542" i="12"/>
  <c r="F672" i="21" s="1"/>
  <c r="F157" i="17"/>
  <c r="F155" i="17" s="1"/>
  <c r="G155" i="17" s="1"/>
  <c r="H155" i="17" s="1"/>
  <c r="I155" i="17" s="1"/>
  <c r="F152" i="17"/>
  <c r="G152" i="17" s="1"/>
  <c r="H152" i="17" s="1"/>
  <c r="I152" i="17" s="1"/>
  <c r="C566" i="12"/>
  <c r="D566" i="12" s="1"/>
  <c r="D548" i="12"/>
  <c r="E473" i="12"/>
  <c r="C510" i="12"/>
  <c r="D510" i="12" s="1"/>
  <c r="N197" i="12"/>
  <c r="M203" i="12"/>
  <c r="N76" i="21"/>
  <c r="N72" i="21"/>
  <c r="N74" i="21"/>
  <c r="F457" i="12"/>
  <c r="F505" i="12"/>
  <c r="N75" i="12"/>
  <c r="O75" i="12" s="1"/>
  <c r="C446" i="12"/>
  <c r="D446" i="12" s="1"/>
  <c r="E504" i="21" s="1"/>
  <c r="I141" i="15"/>
  <c r="K141" i="15"/>
  <c r="F443" i="21"/>
  <c r="G497" i="12"/>
  <c r="O46" i="21" l="1"/>
  <c r="O37" i="12"/>
  <c r="O70" i="21"/>
  <c r="O110" i="21"/>
  <c r="O101" i="12"/>
  <c r="O118" i="21"/>
  <c r="O109" i="12"/>
  <c r="C486" i="12" s="1"/>
  <c r="D486" i="12" s="1"/>
  <c r="E574" i="21" s="1"/>
  <c r="O126" i="21"/>
  <c r="P126" i="21" s="1"/>
  <c r="D588" i="21" s="1"/>
  <c r="O117" i="12"/>
  <c r="O182" i="21"/>
  <c r="P182" i="21" s="1"/>
  <c r="D686" i="21" s="1"/>
  <c r="O173" i="12"/>
  <c r="O190" i="21"/>
  <c r="P190" i="21" s="1"/>
  <c r="D700" i="21" s="1"/>
  <c r="O181" i="12"/>
  <c r="C558" i="12" s="1"/>
  <c r="D558" i="12" s="1"/>
  <c r="D564" i="12" s="1"/>
  <c r="O206" i="21"/>
  <c r="P206" i="21" s="1"/>
  <c r="D728" i="21" s="1"/>
  <c r="O197" i="12"/>
  <c r="C574" i="12" s="1"/>
  <c r="D574" i="12" s="1"/>
  <c r="O168" i="21"/>
  <c r="P168" i="21" s="1"/>
  <c r="O382" i="21"/>
  <c r="N379" i="12"/>
  <c r="O379" i="12" s="1"/>
  <c r="N196" i="21"/>
  <c r="P166" i="21"/>
  <c r="D658" i="21" s="1"/>
  <c r="D670" i="21" s="1"/>
  <c r="O170" i="21"/>
  <c r="P170" i="21" s="1"/>
  <c r="E476" i="21"/>
  <c r="L11" i="27"/>
  <c r="L12" i="27" s="1"/>
  <c r="L15" i="27" s="1"/>
  <c r="L79" i="27" s="1"/>
  <c r="C406" i="12"/>
  <c r="AM15" i="15"/>
  <c r="AN15" i="15" s="1"/>
  <c r="E89" i="15"/>
  <c r="AM17" i="15"/>
  <c r="AN17" i="15" s="1"/>
  <c r="E91" i="15"/>
  <c r="D540" i="12"/>
  <c r="E534" i="12"/>
  <c r="F658" i="21" s="1"/>
  <c r="D596" i="21"/>
  <c r="D600" i="21"/>
  <c r="O200" i="21"/>
  <c r="P200" i="21" s="1"/>
  <c r="O202" i="21"/>
  <c r="P202" i="21" s="1"/>
  <c r="O204" i="21"/>
  <c r="P204" i="21" s="1"/>
  <c r="P198" i="21"/>
  <c r="D714" i="21" s="1"/>
  <c r="N187" i="12"/>
  <c r="O187" i="12" s="1"/>
  <c r="D698" i="21"/>
  <c r="D694" i="21"/>
  <c r="D690" i="21"/>
  <c r="O188" i="21"/>
  <c r="P188" i="21" s="1"/>
  <c r="O186" i="21"/>
  <c r="P186" i="21" s="1"/>
  <c r="O184" i="21"/>
  <c r="P184" i="21" s="1"/>
  <c r="D516" i="12"/>
  <c r="E616" i="21"/>
  <c r="E602" i="21"/>
  <c r="D508" i="12"/>
  <c r="E502" i="12"/>
  <c r="D592" i="21"/>
  <c r="O130" i="21"/>
  <c r="P130" i="21" s="1"/>
  <c r="O132" i="21"/>
  <c r="P132" i="21" s="1"/>
  <c r="O128" i="21"/>
  <c r="P128" i="21" s="1"/>
  <c r="E470" i="12"/>
  <c r="F546" i="21" s="1"/>
  <c r="E546" i="21"/>
  <c r="O30" i="21"/>
  <c r="P30" i="21" s="1"/>
  <c r="D420" i="21" s="1"/>
  <c r="D436" i="12"/>
  <c r="E433" i="12"/>
  <c r="D425" i="12"/>
  <c r="C417" i="12"/>
  <c r="D417" i="12" s="1"/>
  <c r="E417" i="12" s="1"/>
  <c r="F417" i="12" s="1"/>
  <c r="H897" i="21"/>
  <c r="I897" i="21" s="1"/>
  <c r="I900" i="21" s="1"/>
  <c r="E1030" i="21"/>
  <c r="E1034" i="21"/>
  <c r="F476" i="21"/>
  <c r="F430" i="12"/>
  <c r="F914" i="21"/>
  <c r="F928" i="21"/>
  <c r="I869" i="21"/>
  <c r="F618" i="21"/>
  <c r="F940" i="21"/>
  <c r="F939" i="21" s="1"/>
  <c r="F942" i="21" s="1"/>
  <c r="F589" i="21"/>
  <c r="G589" i="21" s="1"/>
  <c r="H589" i="21" s="1"/>
  <c r="I589" i="21" s="1"/>
  <c r="E719" i="21"/>
  <c r="F632" i="21"/>
  <c r="F954" i="21"/>
  <c r="F953" i="21" s="1"/>
  <c r="G953" i="21" s="1"/>
  <c r="G723" i="21"/>
  <c r="F617" i="21"/>
  <c r="G617" i="21" s="1"/>
  <c r="H883" i="21"/>
  <c r="F603" i="21"/>
  <c r="G603" i="21" s="1"/>
  <c r="H603" i="21" s="1"/>
  <c r="I603" i="21" s="1"/>
  <c r="D532" i="21"/>
  <c r="D544" i="21" s="1"/>
  <c r="H632" i="21"/>
  <c r="H954" i="21"/>
  <c r="H618" i="21"/>
  <c r="H940" i="21"/>
  <c r="E995" i="21"/>
  <c r="E998" i="21" s="1"/>
  <c r="E645" i="21"/>
  <c r="E648" i="21" s="1"/>
  <c r="E1023" i="21"/>
  <c r="G1024" i="21"/>
  <c r="G1038" i="21" s="1"/>
  <c r="G702" i="21"/>
  <c r="E1009" i="21"/>
  <c r="E1012" i="21" s="1"/>
  <c r="E659" i="21"/>
  <c r="H925" i="21"/>
  <c r="G928" i="21"/>
  <c r="H911" i="21"/>
  <c r="G914" i="21"/>
  <c r="M17" i="21"/>
  <c r="L18" i="27" s="1"/>
  <c r="M18" i="21"/>
  <c r="L20" i="27" s="1"/>
  <c r="M19" i="21"/>
  <c r="L21" i="27" s="1"/>
  <c r="M382" i="12"/>
  <c r="M48" i="20" s="1"/>
  <c r="K142" i="15"/>
  <c r="I142" i="15"/>
  <c r="P46" i="21"/>
  <c r="N43" i="12"/>
  <c r="O43" i="12" s="1"/>
  <c r="D476" i="12"/>
  <c r="P96" i="21"/>
  <c r="E540" i="21"/>
  <c r="P110" i="21"/>
  <c r="D560" i="21" s="1"/>
  <c r="N115" i="12"/>
  <c r="O115" i="12" s="1"/>
  <c r="N114" i="21"/>
  <c r="N112" i="21"/>
  <c r="N116" i="21"/>
  <c r="N48" i="21"/>
  <c r="N52" i="21"/>
  <c r="N50" i="21"/>
  <c r="O48" i="21"/>
  <c r="O50" i="21"/>
  <c r="O52" i="21"/>
  <c r="N66" i="21"/>
  <c r="N64" i="21"/>
  <c r="N68" i="21"/>
  <c r="N179" i="12"/>
  <c r="O179" i="12" s="1"/>
  <c r="E742" i="12"/>
  <c r="F1022" i="21" s="1"/>
  <c r="P98" i="21"/>
  <c r="L48" i="20"/>
  <c r="O84" i="21"/>
  <c r="P84" i="21" s="1"/>
  <c r="O80" i="21"/>
  <c r="P80" i="21" s="1"/>
  <c r="O82" i="21"/>
  <c r="P82" i="21" s="1"/>
  <c r="P78" i="21"/>
  <c r="D504" i="21" s="1"/>
  <c r="N120" i="21"/>
  <c r="N124" i="21"/>
  <c r="N122" i="21"/>
  <c r="P100" i="21"/>
  <c r="C550" i="12"/>
  <c r="D550" i="12" s="1"/>
  <c r="E686" i="21" s="1"/>
  <c r="E454" i="12"/>
  <c r="F518" i="21" s="1"/>
  <c r="D460" i="12"/>
  <c r="C494" i="12"/>
  <c r="D494" i="12" s="1"/>
  <c r="E588" i="21" s="1"/>
  <c r="N123" i="12"/>
  <c r="O123" i="12" s="1"/>
  <c r="N67" i="12"/>
  <c r="P62" i="21"/>
  <c r="D476" i="21" s="1"/>
  <c r="N176" i="21"/>
  <c r="N180" i="21"/>
  <c r="N178" i="21"/>
  <c r="N36" i="21"/>
  <c r="N34" i="21"/>
  <c r="N32" i="21"/>
  <c r="N27" i="12"/>
  <c r="P150" i="21"/>
  <c r="O152" i="21"/>
  <c r="P152" i="21" s="1"/>
  <c r="O154" i="21"/>
  <c r="P154" i="21" s="1"/>
  <c r="O156" i="21"/>
  <c r="P156" i="21" s="1"/>
  <c r="D745" i="12"/>
  <c r="G417" i="12"/>
  <c r="E656" i="21"/>
  <c r="E652" i="21"/>
  <c r="E425" i="12"/>
  <c r="AM72" i="15"/>
  <c r="AN72" i="15" s="1"/>
  <c r="E143" i="15"/>
  <c r="D147" i="15" s="1"/>
  <c r="F147" i="15" s="1"/>
  <c r="E526" i="12"/>
  <c r="F644" i="21" s="1"/>
  <c r="F481" i="12"/>
  <c r="X76" i="15"/>
  <c r="X77" i="15" s="1"/>
  <c r="X78" i="15" s="1"/>
  <c r="W38" i="15"/>
  <c r="X38" i="15" s="1"/>
  <c r="X39" i="15" s="1"/>
  <c r="X40" i="15" s="1"/>
  <c r="J16" i="21" s="1"/>
  <c r="O42" i="21"/>
  <c r="P42" i="21" s="1"/>
  <c r="O40" i="21"/>
  <c r="P40" i="21" s="1"/>
  <c r="O44" i="21"/>
  <c r="P44" i="21" s="1"/>
  <c r="P38" i="21"/>
  <c r="D434" i="21" s="1"/>
  <c r="AJ22" i="15"/>
  <c r="N108" i="21"/>
  <c r="N106" i="21"/>
  <c r="N104" i="21"/>
  <c r="N24" i="21"/>
  <c r="N26" i="21"/>
  <c r="N28" i="21"/>
  <c r="AN69" i="15"/>
  <c r="F441" i="12"/>
  <c r="N107" i="12"/>
  <c r="O107" i="12" s="1"/>
  <c r="C478" i="12"/>
  <c r="D478" i="12" s="1"/>
  <c r="E560" i="21" s="1"/>
  <c r="AC57" i="15"/>
  <c r="AF23" i="15"/>
  <c r="AD23" i="15"/>
  <c r="AD24" i="15" s="1"/>
  <c r="AD25" i="15" s="1"/>
  <c r="F140" i="15"/>
  <c r="H140" i="15"/>
  <c r="Z76" i="15"/>
  <c r="AA57" i="15"/>
  <c r="AA58" i="15" s="1"/>
  <c r="AA59" i="15" s="1"/>
  <c r="H467" i="21"/>
  <c r="E518" i="12"/>
  <c r="F630" i="21" s="1"/>
  <c r="D524" i="12"/>
  <c r="F125" i="15"/>
  <c r="H125" i="15"/>
  <c r="O160" i="21"/>
  <c r="P160" i="21" s="1"/>
  <c r="O162" i="21"/>
  <c r="P162" i="21" s="1"/>
  <c r="O164" i="21"/>
  <c r="P164" i="21" s="1"/>
  <c r="P158" i="21"/>
  <c r="D644" i="21" s="1"/>
  <c r="O148" i="21"/>
  <c r="P148" i="21" s="1"/>
  <c r="O144" i="21"/>
  <c r="P144" i="21" s="1"/>
  <c r="O146" i="21"/>
  <c r="P146" i="21" s="1"/>
  <c r="P142" i="21"/>
  <c r="D616" i="21" s="1"/>
  <c r="AM18" i="15"/>
  <c r="AN18" i="15" s="1"/>
  <c r="E92" i="15"/>
  <c r="E529" i="12"/>
  <c r="D532" i="12"/>
  <c r="E126" i="15"/>
  <c r="D130" i="15" s="1"/>
  <c r="F130" i="15" s="1"/>
  <c r="AM53" i="15"/>
  <c r="AN53" i="15" s="1"/>
  <c r="H17" i="27"/>
  <c r="I14" i="21"/>
  <c r="I13" i="21" s="1"/>
  <c r="H103" i="15"/>
  <c r="F103" i="15"/>
  <c r="AM37" i="15"/>
  <c r="E93" i="15"/>
  <c r="AM19" i="15"/>
  <c r="AN19" i="15" s="1"/>
  <c r="H124" i="15"/>
  <c r="F124" i="15"/>
  <c r="K106" i="15"/>
  <c r="I106" i="15"/>
  <c r="AN37" i="15"/>
  <c r="H104" i="15"/>
  <c r="F104" i="15"/>
  <c r="H121" i="15"/>
  <c r="F121" i="15"/>
  <c r="E88" i="15"/>
  <c r="AM14" i="15"/>
  <c r="AK23" i="15"/>
  <c r="Q138" i="15"/>
  <c r="O138" i="15"/>
  <c r="F473" i="12"/>
  <c r="I471" i="21"/>
  <c r="H107" i="15"/>
  <c r="F107" i="15"/>
  <c r="E561" i="12"/>
  <c r="N141" i="15"/>
  <c r="L141" i="15"/>
  <c r="F542" i="12"/>
  <c r="F481" i="21"/>
  <c r="I105" i="15"/>
  <c r="K105" i="15"/>
  <c r="H497" i="12"/>
  <c r="D452" i="12"/>
  <c r="E446" i="12"/>
  <c r="F504" i="21" s="1"/>
  <c r="H123" i="15"/>
  <c r="F123" i="15"/>
  <c r="G593" i="21"/>
  <c r="N386" i="21"/>
  <c r="N384" i="21"/>
  <c r="N388" i="21"/>
  <c r="F463" i="21"/>
  <c r="O140" i="21"/>
  <c r="P140" i="21" s="1"/>
  <c r="O136" i="21"/>
  <c r="P136" i="21" s="1"/>
  <c r="O138" i="21"/>
  <c r="P138" i="21" s="1"/>
  <c r="P134" i="21"/>
  <c r="D602" i="21" s="1"/>
  <c r="E566" i="12"/>
  <c r="E572" i="12" s="1"/>
  <c r="N108" i="15"/>
  <c r="L108" i="15"/>
  <c r="B53" i="18"/>
  <c r="D572" i="12"/>
  <c r="E462" i="12"/>
  <c r="F532" i="21" s="1"/>
  <c r="D468" i="12"/>
  <c r="F513" i="12"/>
  <c r="H122" i="15"/>
  <c r="F122" i="15"/>
  <c r="G457" i="12"/>
  <c r="N203" i="12"/>
  <c r="O203" i="12" s="1"/>
  <c r="O194" i="21"/>
  <c r="P194" i="21" s="1"/>
  <c r="O192" i="21"/>
  <c r="P192" i="21" s="1"/>
  <c r="O196" i="21"/>
  <c r="P196" i="21" s="1"/>
  <c r="F569" i="12"/>
  <c r="E436" i="12"/>
  <c r="F433" i="12"/>
  <c r="AM56" i="15"/>
  <c r="AN49" i="15"/>
  <c r="AN56" i="15" s="1"/>
  <c r="N380" i="21"/>
  <c r="N378" i="21"/>
  <c r="N376" i="21"/>
  <c r="E548" i="12"/>
  <c r="G443" i="21"/>
  <c r="O74" i="21"/>
  <c r="P74" i="21" s="1"/>
  <c r="O76" i="21"/>
  <c r="O72" i="21"/>
  <c r="P70" i="21"/>
  <c r="D490" i="21" s="1"/>
  <c r="G505" i="12"/>
  <c r="E510" i="12"/>
  <c r="E666" i="21"/>
  <c r="E670" i="21"/>
  <c r="G545" i="12"/>
  <c r="I90" i="15"/>
  <c r="K90" i="15"/>
  <c r="O88" i="21"/>
  <c r="P88" i="21" s="1"/>
  <c r="O90" i="21"/>
  <c r="P90" i="21" s="1"/>
  <c r="O92" i="21"/>
  <c r="P92" i="21" s="1"/>
  <c r="P86" i="21"/>
  <c r="D518" i="21" s="1"/>
  <c r="F577" i="12"/>
  <c r="D112" i="15"/>
  <c r="F112" i="15" s="1"/>
  <c r="D666" i="21"/>
  <c r="D438" i="12" l="1"/>
  <c r="E490" i="21" s="1"/>
  <c r="C444" i="12"/>
  <c r="O212" i="21"/>
  <c r="P212" i="21" s="1"/>
  <c r="O210" i="21"/>
  <c r="P210" i="21" s="1"/>
  <c r="O208" i="21"/>
  <c r="P208" i="21" s="1"/>
  <c r="D662" i="21"/>
  <c r="J406" i="12"/>
  <c r="L66" i="27"/>
  <c r="L76" i="27"/>
  <c r="D540" i="21"/>
  <c r="N382" i="12"/>
  <c r="C398" i="12"/>
  <c r="H91" i="15"/>
  <c r="F91" i="15"/>
  <c r="E540" i="12"/>
  <c r="F534" i="12"/>
  <c r="G658" i="21" s="1"/>
  <c r="F89" i="15"/>
  <c r="H89" i="15"/>
  <c r="D422" i="12"/>
  <c r="E462" i="21" s="1"/>
  <c r="E466" i="21" s="1"/>
  <c r="C414" i="12"/>
  <c r="D414" i="12" s="1"/>
  <c r="F470" i="12"/>
  <c r="G546" i="21" s="1"/>
  <c r="E476" i="12"/>
  <c r="E714" i="21"/>
  <c r="E722" i="21" s="1"/>
  <c r="E728" i="21"/>
  <c r="E558" i="12"/>
  <c r="E564" i="12" s="1"/>
  <c r="E700" i="21"/>
  <c r="E712" i="21" s="1"/>
  <c r="E698" i="21"/>
  <c r="E694" i="21"/>
  <c r="F548" i="12"/>
  <c r="G672" i="21"/>
  <c r="E516" i="12"/>
  <c r="F616" i="21"/>
  <c r="F602" i="21"/>
  <c r="F502" i="12"/>
  <c r="E508" i="12"/>
  <c r="E592" i="21"/>
  <c r="E600" i="21"/>
  <c r="E596" i="21"/>
  <c r="D448" i="21"/>
  <c r="D452" i="21" s="1"/>
  <c r="D406" i="12"/>
  <c r="D412" i="12" s="1"/>
  <c r="H900" i="21"/>
  <c r="C750" i="12"/>
  <c r="F1030" i="21"/>
  <c r="F1034" i="21"/>
  <c r="G476" i="21"/>
  <c r="G430" i="12"/>
  <c r="F956" i="21"/>
  <c r="G939" i="21"/>
  <c r="G942" i="21" s="1"/>
  <c r="D536" i="21"/>
  <c r="F982" i="21"/>
  <c r="F981" i="21" s="1"/>
  <c r="G981" i="21" s="1"/>
  <c r="F660" i="21"/>
  <c r="F659" i="21" s="1"/>
  <c r="F719" i="21"/>
  <c r="H886" i="21"/>
  <c r="I883" i="21"/>
  <c r="I886" i="21" s="1"/>
  <c r="H723" i="21"/>
  <c r="F968" i="21"/>
  <c r="F967" i="21" s="1"/>
  <c r="F970" i="21" s="1"/>
  <c r="F646" i="21"/>
  <c r="F631" i="21"/>
  <c r="G631" i="21" s="1"/>
  <c r="H631" i="21" s="1"/>
  <c r="I631" i="21" s="1"/>
  <c r="D746" i="21"/>
  <c r="D754" i="21"/>
  <c r="D750" i="21"/>
  <c r="D760" i="21"/>
  <c r="D764" i="21"/>
  <c r="D768" i="21"/>
  <c r="H968" i="21"/>
  <c r="H646" i="21"/>
  <c r="H982" i="21"/>
  <c r="H660" i="21"/>
  <c r="H617" i="21"/>
  <c r="I617" i="21" s="1"/>
  <c r="E662" i="21"/>
  <c r="G956" i="21"/>
  <c r="H953" i="21"/>
  <c r="D810" i="21"/>
  <c r="D802" i="21"/>
  <c r="D806" i="21"/>
  <c r="I911" i="21"/>
  <c r="I914" i="21" s="1"/>
  <c r="H914" i="21"/>
  <c r="E1026" i="21"/>
  <c r="E673" i="21"/>
  <c r="E687" i="21"/>
  <c r="I925" i="21"/>
  <c r="I928" i="21" s="1"/>
  <c r="H928" i="21"/>
  <c r="D630" i="21"/>
  <c r="D642" i="21" s="1"/>
  <c r="D830" i="21"/>
  <c r="D838" i="21"/>
  <c r="D834" i="21"/>
  <c r="D858" i="21"/>
  <c r="D866" i="21"/>
  <c r="D862" i="21"/>
  <c r="N18" i="21"/>
  <c r="M20" i="27" s="1"/>
  <c r="N19" i="21"/>
  <c r="M21" i="27" s="1"/>
  <c r="N17" i="21"/>
  <c r="M18" i="27" s="1"/>
  <c r="O27" i="12"/>
  <c r="AM75" i="15"/>
  <c r="AN75" i="15"/>
  <c r="N142" i="15"/>
  <c r="L142" i="15"/>
  <c r="O67" i="12"/>
  <c r="E536" i="21"/>
  <c r="E544" i="21"/>
  <c r="D572" i="21"/>
  <c r="D568" i="21"/>
  <c r="D564" i="21"/>
  <c r="D492" i="12"/>
  <c r="E486" i="12"/>
  <c r="F574" i="21" s="1"/>
  <c r="O116" i="21"/>
  <c r="P116" i="21" s="1"/>
  <c r="O114" i="21"/>
  <c r="P114" i="21" s="1"/>
  <c r="O112" i="21"/>
  <c r="P112" i="21" s="1"/>
  <c r="P52" i="21"/>
  <c r="P50" i="21"/>
  <c r="P48" i="21"/>
  <c r="E508" i="21"/>
  <c r="E512" i="21"/>
  <c r="E516" i="21"/>
  <c r="O178" i="21"/>
  <c r="P178" i="21" s="1"/>
  <c r="O180" i="21"/>
  <c r="P180" i="21" s="1"/>
  <c r="O176" i="21"/>
  <c r="P176" i="21" s="1"/>
  <c r="P174" i="21"/>
  <c r="D672" i="21" s="1"/>
  <c r="D484" i="21"/>
  <c r="D488" i="21"/>
  <c r="D480" i="21"/>
  <c r="P118" i="21"/>
  <c r="D574" i="21" s="1"/>
  <c r="O120" i="21"/>
  <c r="P120" i="21" s="1"/>
  <c r="O122" i="21"/>
  <c r="P122" i="21" s="1"/>
  <c r="O124" i="21"/>
  <c r="P124" i="21" s="1"/>
  <c r="F742" i="12"/>
  <c r="G1022" i="21" s="1"/>
  <c r="F454" i="12"/>
  <c r="G518" i="21" s="1"/>
  <c r="E460" i="12"/>
  <c r="E550" i="12"/>
  <c r="F686" i="21" s="1"/>
  <c r="D556" i="12"/>
  <c r="D500" i="12"/>
  <c r="E494" i="12"/>
  <c r="F588" i="21" s="1"/>
  <c r="O66" i="21"/>
  <c r="P66" i="21" s="1"/>
  <c r="O68" i="21"/>
  <c r="P68" i="21" s="1"/>
  <c r="O64" i="21"/>
  <c r="P64" i="21" s="1"/>
  <c r="D512" i="21"/>
  <c r="D508" i="21"/>
  <c r="D516" i="21"/>
  <c r="F536" i="21"/>
  <c r="F544" i="21"/>
  <c r="F540" i="21"/>
  <c r="D428" i="21"/>
  <c r="D424" i="21"/>
  <c r="D432" i="21"/>
  <c r="O36" i="21"/>
  <c r="P36" i="21" s="1"/>
  <c r="O32" i="21"/>
  <c r="P32" i="21" s="1"/>
  <c r="O34" i="21"/>
  <c r="P34" i="21" s="1"/>
  <c r="K125" i="15"/>
  <c r="I125" i="15"/>
  <c r="E478" i="12"/>
  <c r="F560" i="21" s="1"/>
  <c r="D484" i="12"/>
  <c r="F425" i="12"/>
  <c r="F656" i="21"/>
  <c r="F652" i="21"/>
  <c r="M11" i="27"/>
  <c r="M12" i="27" s="1"/>
  <c r="M15" i="27" s="1"/>
  <c r="M79" i="27" s="1"/>
  <c r="AF57" i="15"/>
  <c r="AI23" i="15"/>
  <c r="AG23" i="15"/>
  <c r="AG24" i="15" s="1"/>
  <c r="AG25" i="15" s="1"/>
  <c r="F529" i="12"/>
  <c r="E532" i="12"/>
  <c r="AA76" i="15"/>
  <c r="AA77" i="15" s="1"/>
  <c r="AA78" i="15" s="1"/>
  <c r="J47" i="20" s="1"/>
  <c r="J50" i="20" s="1"/>
  <c r="Z38" i="15"/>
  <c r="AA38" i="15" s="1"/>
  <c r="AA39" i="15" s="1"/>
  <c r="AA40" i="15" s="1"/>
  <c r="K16" i="21" s="1"/>
  <c r="AC76" i="15"/>
  <c r="AD57" i="15"/>
  <c r="AD58" i="15" s="1"/>
  <c r="AD59" i="15" s="1"/>
  <c r="O104" i="21"/>
  <c r="P104" i="21" s="1"/>
  <c r="O108" i="21"/>
  <c r="P108" i="21" s="1"/>
  <c r="O106" i="21"/>
  <c r="P106" i="21" s="1"/>
  <c r="G481" i="12"/>
  <c r="J14" i="21"/>
  <c r="J13" i="21" s="1"/>
  <c r="I17" i="27"/>
  <c r="F126" i="15"/>
  <c r="F129" i="15" s="1"/>
  <c r="F131" i="15" s="1"/>
  <c r="F132" i="15" s="1"/>
  <c r="E54" i="17" s="1"/>
  <c r="H126" i="15"/>
  <c r="G130" i="15" s="1"/>
  <c r="I130" i="15" s="1"/>
  <c r="H92" i="15"/>
  <c r="F92" i="15"/>
  <c r="D652" i="21"/>
  <c r="D656" i="21"/>
  <c r="D648" i="21"/>
  <c r="E524" i="12"/>
  <c r="F518" i="12"/>
  <c r="G630" i="21" s="1"/>
  <c r="D438" i="21"/>
  <c r="D442" i="21"/>
  <c r="D446" i="21"/>
  <c r="F526" i="12"/>
  <c r="G644" i="21" s="1"/>
  <c r="E745" i="12"/>
  <c r="D748" i="12"/>
  <c r="D418" i="21"/>
  <c r="D414" i="21"/>
  <c r="E620" i="21"/>
  <c r="E624" i="21"/>
  <c r="E628" i="21"/>
  <c r="G441" i="12"/>
  <c r="E642" i="21"/>
  <c r="E638" i="21"/>
  <c r="E634" i="21"/>
  <c r="F111" i="15"/>
  <c r="F113" i="15" s="1"/>
  <c r="F114" i="15" s="1"/>
  <c r="D620" i="21"/>
  <c r="D624" i="21"/>
  <c r="D628" i="21"/>
  <c r="H143" i="15"/>
  <c r="G147" i="15" s="1"/>
  <c r="I147" i="15" s="1"/>
  <c r="F143" i="15"/>
  <c r="F146" i="15" s="1"/>
  <c r="F148" i="15" s="1"/>
  <c r="F149" i="15" s="1"/>
  <c r="E135" i="17" s="1"/>
  <c r="H417" i="12"/>
  <c r="G112" i="15"/>
  <c r="I112" i="15" s="1"/>
  <c r="I467" i="21"/>
  <c r="K140" i="15"/>
  <c r="I140" i="15"/>
  <c r="O24" i="21"/>
  <c r="O26" i="21"/>
  <c r="O28" i="21"/>
  <c r="P102" i="21"/>
  <c r="D546" i="21" s="1"/>
  <c r="I103" i="15"/>
  <c r="K103" i="15"/>
  <c r="K124" i="15"/>
  <c r="I124" i="15"/>
  <c r="H93" i="15"/>
  <c r="F93" i="15"/>
  <c r="N106" i="15"/>
  <c r="L106" i="15"/>
  <c r="I104" i="15"/>
  <c r="K104" i="15"/>
  <c r="K121" i="15"/>
  <c r="I121" i="15"/>
  <c r="E574" i="12"/>
  <c r="D580" i="12"/>
  <c r="O108" i="15"/>
  <c r="Q108" i="15"/>
  <c r="R108" i="15" s="1"/>
  <c r="D614" i="21"/>
  <c r="D606" i="21"/>
  <c r="D610" i="21"/>
  <c r="D97" i="15"/>
  <c r="F97" i="15" s="1"/>
  <c r="F88" i="15"/>
  <c r="H88" i="15"/>
  <c r="D522" i="21"/>
  <c r="D526" i="21"/>
  <c r="D530" i="21"/>
  <c r="F436" i="12"/>
  <c r="G433" i="12"/>
  <c r="O376" i="21"/>
  <c r="P376" i="21" s="1"/>
  <c r="O378" i="21"/>
  <c r="P378" i="21" s="1"/>
  <c r="O380" i="21"/>
  <c r="P380" i="21" s="1"/>
  <c r="P374" i="21"/>
  <c r="D1022" i="21" s="1"/>
  <c r="H505" i="12"/>
  <c r="G569" i="12"/>
  <c r="E502" i="21"/>
  <c r="E494" i="21"/>
  <c r="E498" i="21"/>
  <c r="O141" i="15"/>
  <c r="Q141" i="15"/>
  <c r="R141" i="15" s="1"/>
  <c r="K107" i="15"/>
  <c r="I107" i="15"/>
  <c r="E606" i="21"/>
  <c r="E610" i="21"/>
  <c r="E614" i="21"/>
  <c r="F561" i="12"/>
  <c r="D494" i="21"/>
  <c r="D498" i="21"/>
  <c r="D502" i="21"/>
  <c r="D708" i="21"/>
  <c r="D704" i="21"/>
  <c r="D712" i="21"/>
  <c r="F566" i="12"/>
  <c r="H593" i="21"/>
  <c r="F446" i="12"/>
  <c r="G504" i="21" s="1"/>
  <c r="E452" i="12"/>
  <c r="H443" i="21"/>
  <c r="AN14" i="15"/>
  <c r="AN22" i="15" s="1"/>
  <c r="AM22" i="15"/>
  <c r="K122" i="15"/>
  <c r="I122" i="15"/>
  <c r="E526" i="21"/>
  <c r="E522" i="21"/>
  <c r="E530" i="21"/>
  <c r="L90" i="15"/>
  <c r="N90" i="15"/>
  <c r="P72" i="21"/>
  <c r="F462" i="12"/>
  <c r="G532" i="21" s="1"/>
  <c r="E468" i="12"/>
  <c r="L105" i="15"/>
  <c r="N105" i="15"/>
  <c r="G481" i="21"/>
  <c r="R138" i="15"/>
  <c r="H545" i="12"/>
  <c r="G542" i="12"/>
  <c r="H672" i="21" s="1"/>
  <c r="P76" i="21"/>
  <c r="G513" i="12"/>
  <c r="O384" i="21"/>
  <c r="P384" i="21" s="1"/>
  <c r="O388" i="21"/>
  <c r="P388" i="21" s="1"/>
  <c r="O386" i="21"/>
  <c r="P386" i="21" s="1"/>
  <c r="P382" i="21"/>
  <c r="D1036" i="21" s="1"/>
  <c r="D1048" i="21" s="1"/>
  <c r="G473" i="12"/>
  <c r="H457" i="12"/>
  <c r="G463" i="21"/>
  <c r="I123" i="15"/>
  <c r="K123" i="15"/>
  <c r="G577" i="12"/>
  <c r="F510" i="12"/>
  <c r="B54" i="18"/>
  <c r="F666" i="21"/>
  <c r="F670" i="21"/>
  <c r="E438" i="12" l="1"/>
  <c r="F490" i="21" s="1"/>
  <c r="D444" i="12"/>
  <c r="F476" i="12"/>
  <c r="D750" i="12"/>
  <c r="D756" i="12" s="1"/>
  <c r="D398" i="12"/>
  <c r="E420" i="21" s="1"/>
  <c r="E432" i="21" s="1"/>
  <c r="F540" i="12"/>
  <c r="G534" i="12"/>
  <c r="H658" i="21" s="1"/>
  <c r="D456" i="21"/>
  <c r="K89" i="15"/>
  <c r="I89" i="15"/>
  <c r="D460" i="21"/>
  <c r="E708" i="21"/>
  <c r="E474" i="21"/>
  <c r="E470" i="21"/>
  <c r="D428" i="12"/>
  <c r="E422" i="12"/>
  <c r="F462" i="21" s="1"/>
  <c r="E448" i="21"/>
  <c r="D420" i="12"/>
  <c r="E414" i="12"/>
  <c r="I91" i="15"/>
  <c r="K91" i="15"/>
  <c r="F96" i="15"/>
  <c r="G470" i="12"/>
  <c r="H546" i="21" s="1"/>
  <c r="E406" i="12"/>
  <c r="F434" i="21" s="1"/>
  <c r="F442" i="21" s="1"/>
  <c r="D634" i="21"/>
  <c r="F714" i="21"/>
  <c r="F722" i="21" s="1"/>
  <c r="F728" i="21"/>
  <c r="E736" i="21"/>
  <c r="E732" i="21"/>
  <c r="E740" i="21"/>
  <c r="E718" i="21"/>
  <c r="E726" i="21"/>
  <c r="F700" i="21"/>
  <c r="F712" i="21" s="1"/>
  <c r="F558" i="12"/>
  <c r="F564" i="12" s="1"/>
  <c r="F694" i="21"/>
  <c r="F698" i="21"/>
  <c r="F516" i="12"/>
  <c r="G616" i="21"/>
  <c r="G602" i="21"/>
  <c r="G502" i="12"/>
  <c r="F508" i="12"/>
  <c r="F600" i="21"/>
  <c r="F596" i="21"/>
  <c r="F592" i="21"/>
  <c r="E434" i="21"/>
  <c r="E868" i="21"/>
  <c r="I111" i="15"/>
  <c r="F984" i="21"/>
  <c r="H939" i="21"/>
  <c r="D1040" i="21"/>
  <c r="G1034" i="21"/>
  <c r="G1030" i="21"/>
  <c r="D1034" i="21"/>
  <c r="D1026" i="21"/>
  <c r="D1030" i="21"/>
  <c r="H476" i="21"/>
  <c r="H430" i="12"/>
  <c r="I476" i="21" s="1"/>
  <c r="G967" i="21"/>
  <c r="H967" i="21" s="1"/>
  <c r="G659" i="21"/>
  <c r="H659" i="21" s="1"/>
  <c r="I659" i="21" s="1"/>
  <c r="F662" i="21"/>
  <c r="F674" i="21"/>
  <c r="F673" i="21" s="1"/>
  <c r="G673" i="21" s="1"/>
  <c r="F996" i="21"/>
  <c r="F995" i="21" s="1"/>
  <c r="G719" i="21"/>
  <c r="I723" i="21"/>
  <c r="F1010" i="21"/>
  <c r="F1009" i="21" s="1"/>
  <c r="G1009" i="21" s="1"/>
  <c r="F688" i="21"/>
  <c r="D718" i="21"/>
  <c r="D726" i="21"/>
  <c r="D722" i="21"/>
  <c r="F645" i="21"/>
  <c r="D736" i="21"/>
  <c r="D732" i="21"/>
  <c r="D740" i="21"/>
  <c r="H1010" i="21"/>
  <c r="H688" i="21"/>
  <c r="D638" i="21"/>
  <c r="H674" i="21"/>
  <c r="H996" i="21"/>
  <c r="D774" i="21"/>
  <c r="D778" i="21"/>
  <c r="D782" i="21"/>
  <c r="D788" i="21"/>
  <c r="D792" i="21"/>
  <c r="D796" i="21"/>
  <c r="H942" i="21"/>
  <c r="I939" i="21"/>
  <c r="I942" i="21" s="1"/>
  <c r="E701" i="21"/>
  <c r="H981" i="21"/>
  <c r="G984" i="21"/>
  <c r="E690" i="21"/>
  <c r="I953" i="21"/>
  <c r="I956" i="21" s="1"/>
  <c r="H956" i="21"/>
  <c r="D816" i="21"/>
  <c r="D820" i="21"/>
  <c r="D824" i="21"/>
  <c r="D848" i="21"/>
  <c r="D844" i="21"/>
  <c r="D852" i="21"/>
  <c r="P28" i="21"/>
  <c r="P19" i="21" s="1"/>
  <c r="O19" i="21"/>
  <c r="N21" i="27" s="1"/>
  <c r="O21" i="27" s="1"/>
  <c r="P26" i="21"/>
  <c r="P18" i="21" s="1"/>
  <c r="O18" i="21"/>
  <c r="N20" i="27" s="1"/>
  <c r="O20" i="27" s="1"/>
  <c r="P24" i="21"/>
  <c r="P17" i="21" s="1"/>
  <c r="O17" i="21"/>
  <c r="N18" i="27" s="1"/>
  <c r="O18" i="27" s="1"/>
  <c r="Q142" i="15"/>
  <c r="R142" i="15" s="1"/>
  <c r="O142" i="15"/>
  <c r="F486" i="12"/>
  <c r="G574" i="21" s="1"/>
  <c r="E492" i="12"/>
  <c r="E572" i="21"/>
  <c r="E568" i="21"/>
  <c r="E564" i="21"/>
  <c r="D684" i="21"/>
  <c r="D676" i="21"/>
  <c r="D680" i="21"/>
  <c r="G454" i="12"/>
  <c r="H518" i="21" s="1"/>
  <c r="F460" i="12"/>
  <c r="E684" i="21"/>
  <c r="E680" i="21"/>
  <c r="E676" i="21"/>
  <c r="F512" i="21"/>
  <c r="F508" i="21"/>
  <c r="F516" i="21"/>
  <c r="D582" i="21"/>
  <c r="D586" i="21"/>
  <c r="D578" i="21"/>
  <c r="G742" i="12"/>
  <c r="H1022" i="21" s="1"/>
  <c r="E586" i="21"/>
  <c r="E582" i="21"/>
  <c r="E578" i="21"/>
  <c r="E444" i="12"/>
  <c r="F438" i="12"/>
  <c r="G490" i="21" s="1"/>
  <c r="G540" i="21"/>
  <c r="G536" i="21"/>
  <c r="G544" i="21"/>
  <c r="F550" i="12"/>
  <c r="G686" i="21" s="1"/>
  <c r="E556" i="12"/>
  <c r="E500" i="12"/>
  <c r="F494" i="12"/>
  <c r="G588" i="21" s="1"/>
  <c r="E480" i="21"/>
  <c r="E488" i="21"/>
  <c r="E484" i="21"/>
  <c r="M76" i="27"/>
  <c r="M66" i="27"/>
  <c r="I92" i="15"/>
  <c r="K92" i="15"/>
  <c r="F620" i="21"/>
  <c r="F624" i="21"/>
  <c r="F628" i="21"/>
  <c r="I126" i="15"/>
  <c r="K126" i="15"/>
  <c r="J130" i="15" s="1"/>
  <c r="L130" i="15" s="1"/>
  <c r="G529" i="12"/>
  <c r="F532" i="12"/>
  <c r="L125" i="15"/>
  <c r="N125" i="15"/>
  <c r="D558" i="21"/>
  <c r="D554" i="21"/>
  <c r="D550" i="21"/>
  <c r="N140" i="15"/>
  <c r="L140" i="15"/>
  <c r="K143" i="15"/>
  <c r="J147" i="15" s="1"/>
  <c r="L147" i="15" s="1"/>
  <c r="I143" i="15"/>
  <c r="I146" i="15" s="1"/>
  <c r="I148" i="15" s="1"/>
  <c r="I149" i="15" s="1"/>
  <c r="F135" i="17" s="1"/>
  <c r="F524" i="12"/>
  <c r="G518" i="12"/>
  <c r="H630" i="21" s="1"/>
  <c r="E558" i="21"/>
  <c r="E550" i="21"/>
  <c r="E554" i="21"/>
  <c r="H481" i="12"/>
  <c r="G652" i="21"/>
  <c r="G656" i="21"/>
  <c r="AC38" i="15"/>
  <c r="AD38" i="15" s="1"/>
  <c r="AD39" i="15" s="1"/>
  <c r="AD40" i="15" s="1"/>
  <c r="L16" i="21" s="1"/>
  <c r="AD76" i="15"/>
  <c r="AD77" i="15" s="1"/>
  <c r="AD78" i="15" s="1"/>
  <c r="K47" i="20" s="1"/>
  <c r="AI57" i="15"/>
  <c r="AL23" i="15"/>
  <c r="AJ23" i="15"/>
  <c r="AJ24" i="15" s="1"/>
  <c r="AJ25" i="15" s="1"/>
  <c r="G425" i="12"/>
  <c r="F478" i="12"/>
  <c r="G560" i="21" s="1"/>
  <c r="E484" i="12"/>
  <c r="J112" i="15"/>
  <c r="L112" i="15" s="1"/>
  <c r="G526" i="12"/>
  <c r="H644" i="21" s="1"/>
  <c r="J17" i="27"/>
  <c r="K14" i="21"/>
  <c r="K13" i="21" s="1"/>
  <c r="AF76" i="15"/>
  <c r="AG57" i="15"/>
  <c r="AG58" i="15" s="1"/>
  <c r="AG59" i="15" s="1"/>
  <c r="H441" i="12"/>
  <c r="F745" i="12"/>
  <c r="E748" i="12"/>
  <c r="F642" i="21"/>
  <c r="F638" i="21"/>
  <c r="F634" i="21"/>
  <c r="E410" i="21"/>
  <c r="E418" i="21"/>
  <c r="E414" i="21"/>
  <c r="N103" i="15"/>
  <c r="L103" i="15"/>
  <c r="K93" i="15"/>
  <c r="I93" i="15"/>
  <c r="N124" i="15"/>
  <c r="L124" i="15"/>
  <c r="Q106" i="15"/>
  <c r="R106" i="15" s="1"/>
  <c r="O106" i="15"/>
  <c r="N104" i="15"/>
  <c r="L104" i="15"/>
  <c r="N121" i="15"/>
  <c r="L121" i="15"/>
  <c r="H463" i="21"/>
  <c r="H542" i="12"/>
  <c r="I672" i="21" s="1"/>
  <c r="L122" i="15"/>
  <c r="N122" i="15"/>
  <c r="F574" i="12"/>
  <c r="E580" i="12"/>
  <c r="G510" i="12"/>
  <c r="H616" i="21" s="1"/>
  <c r="H513" i="12"/>
  <c r="F606" i="21"/>
  <c r="F610" i="21"/>
  <c r="F614" i="21"/>
  <c r="I113" i="15"/>
  <c r="I114" i="15" s="1"/>
  <c r="G548" i="12"/>
  <c r="O90" i="15"/>
  <c r="Q90" i="15"/>
  <c r="R90" i="15" s="1"/>
  <c r="G566" i="12"/>
  <c r="F572" i="12"/>
  <c r="I593" i="21"/>
  <c r="H577" i="12"/>
  <c r="H481" i="21"/>
  <c r="G462" i="12"/>
  <c r="H532" i="21" s="1"/>
  <c r="F468" i="12"/>
  <c r="N48" i="20"/>
  <c r="N11" i="27"/>
  <c r="H569" i="12"/>
  <c r="B55" i="18"/>
  <c r="F526" i="21"/>
  <c r="F522" i="21"/>
  <c r="F530" i="21"/>
  <c r="F502" i="21"/>
  <c r="F494" i="21"/>
  <c r="F498" i="21"/>
  <c r="K88" i="15"/>
  <c r="G97" i="15"/>
  <c r="I97" i="15" s="1"/>
  <c r="I88" i="15"/>
  <c r="H473" i="12"/>
  <c r="O105" i="15"/>
  <c r="Q105" i="15"/>
  <c r="G561" i="12"/>
  <c r="F98" i="15"/>
  <c r="F99" i="15" s="1"/>
  <c r="E401" i="21" s="1"/>
  <c r="G666" i="21"/>
  <c r="G670" i="21"/>
  <c r="L123" i="15"/>
  <c r="N123" i="15"/>
  <c r="D1044" i="21"/>
  <c r="I443" i="21"/>
  <c r="G446" i="12"/>
  <c r="H504" i="21" s="1"/>
  <c r="F452" i="12"/>
  <c r="I129" i="15"/>
  <c r="L107" i="15"/>
  <c r="N107" i="15"/>
  <c r="H433" i="12"/>
  <c r="G436" i="12"/>
  <c r="E412" i="12" l="1"/>
  <c r="C13" i="13"/>
  <c r="K21" i="13" s="1"/>
  <c r="G540" i="12"/>
  <c r="E750" i="12"/>
  <c r="F1036" i="21" s="1"/>
  <c r="E1036" i="21"/>
  <c r="E1044" i="21" s="1"/>
  <c r="E428" i="12"/>
  <c r="E424" i="21"/>
  <c r="D404" i="12"/>
  <c r="D397" i="12" s="1"/>
  <c r="E398" i="12"/>
  <c r="E404" i="12" s="1"/>
  <c r="E428" i="21"/>
  <c r="G476" i="12"/>
  <c r="F708" i="21"/>
  <c r="H470" i="12"/>
  <c r="I546" i="21" s="1"/>
  <c r="F422" i="12"/>
  <c r="G462" i="21" s="1"/>
  <c r="G466" i="21" s="1"/>
  <c r="H534" i="12"/>
  <c r="I658" i="21" s="1"/>
  <c r="I662" i="21" s="1"/>
  <c r="H436" i="12"/>
  <c r="F868" i="21"/>
  <c r="F872" i="21" s="1"/>
  <c r="F406" i="12"/>
  <c r="G406" i="12" s="1"/>
  <c r="L91" i="15"/>
  <c r="N91" i="15"/>
  <c r="F448" i="21"/>
  <c r="F452" i="21" s="1"/>
  <c r="F414" i="12"/>
  <c r="E420" i="12"/>
  <c r="E460" i="21"/>
  <c r="E456" i="21"/>
  <c r="E452" i="21"/>
  <c r="L89" i="15"/>
  <c r="N89" i="15"/>
  <c r="F446" i="21"/>
  <c r="F750" i="12"/>
  <c r="F438" i="21"/>
  <c r="G714" i="21"/>
  <c r="G722" i="21" s="1"/>
  <c r="G728" i="21"/>
  <c r="F736" i="21"/>
  <c r="F740" i="21"/>
  <c r="F732" i="21"/>
  <c r="F718" i="21"/>
  <c r="F726" i="21"/>
  <c r="G700" i="21"/>
  <c r="G708" i="21" s="1"/>
  <c r="G558" i="12"/>
  <c r="G564" i="12" s="1"/>
  <c r="G698" i="21"/>
  <c r="G694" i="21"/>
  <c r="H602" i="21"/>
  <c r="H502" i="12"/>
  <c r="G508" i="12"/>
  <c r="G600" i="21"/>
  <c r="G596" i="21"/>
  <c r="G592" i="21"/>
  <c r="F474" i="21"/>
  <c r="F470" i="21"/>
  <c r="F466" i="21"/>
  <c r="E446" i="21"/>
  <c r="E438" i="21"/>
  <c r="E442" i="21"/>
  <c r="E876" i="21"/>
  <c r="E880" i="21"/>
  <c r="E872" i="21"/>
  <c r="M112" i="15"/>
  <c r="O112" i="15" s="1"/>
  <c r="G662" i="21"/>
  <c r="G970" i="21"/>
  <c r="H1030" i="21"/>
  <c r="H1034" i="21"/>
  <c r="D404" i="21"/>
  <c r="D402" i="21"/>
  <c r="D403" i="21"/>
  <c r="F1012" i="21"/>
  <c r="G645" i="21"/>
  <c r="F648" i="21"/>
  <c r="H719" i="21"/>
  <c r="G995" i="21"/>
  <c r="G998" i="21" s="1"/>
  <c r="F998" i="21"/>
  <c r="F1024" i="21"/>
  <c r="F702" i="21"/>
  <c r="F687" i="21"/>
  <c r="G687" i="21" s="1"/>
  <c r="H702" i="21"/>
  <c r="H1024" i="21"/>
  <c r="H1038" i="21" s="1"/>
  <c r="H673" i="21"/>
  <c r="I673" i="21" s="1"/>
  <c r="H984" i="21"/>
  <c r="I981" i="21"/>
  <c r="I984" i="21" s="1"/>
  <c r="H1009" i="21"/>
  <c r="G1012" i="21"/>
  <c r="I967" i="21"/>
  <c r="I970" i="21" s="1"/>
  <c r="H970" i="21"/>
  <c r="E704" i="21"/>
  <c r="I96" i="15"/>
  <c r="G486" i="12"/>
  <c r="H574" i="21" s="1"/>
  <c r="F492" i="12"/>
  <c r="F564" i="21"/>
  <c r="F568" i="21"/>
  <c r="F572" i="21"/>
  <c r="F556" i="12"/>
  <c r="G550" i="12"/>
  <c r="H686" i="21" s="1"/>
  <c r="H454" i="12"/>
  <c r="I518" i="21" s="1"/>
  <c r="G460" i="12"/>
  <c r="F500" i="12"/>
  <c r="G494" i="12"/>
  <c r="H588" i="21" s="1"/>
  <c r="G512" i="21"/>
  <c r="G508" i="21"/>
  <c r="G516" i="21"/>
  <c r="H536" i="21"/>
  <c r="H540" i="21"/>
  <c r="H544" i="21"/>
  <c r="F586" i="21"/>
  <c r="F582" i="21"/>
  <c r="F578" i="21"/>
  <c r="H742" i="12"/>
  <c r="I1022" i="21" s="1"/>
  <c r="F684" i="21"/>
  <c r="F676" i="21"/>
  <c r="F680" i="21"/>
  <c r="F480" i="21"/>
  <c r="F484" i="21"/>
  <c r="F488" i="21"/>
  <c r="G438" i="12"/>
  <c r="H490" i="21" s="1"/>
  <c r="F444" i="12"/>
  <c r="AF38" i="15"/>
  <c r="AG38" i="15" s="1"/>
  <c r="AG39" i="15" s="1"/>
  <c r="AG40" i="15" s="1"/>
  <c r="M16" i="21" s="1"/>
  <c r="AG76" i="15"/>
  <c r="AG77" i="15" s="1"/>
  <c r="AG78" i="15" s="1"/>
  <c r="L47" i="20" s="1"/>
  <c r="L50" i="20" s="1"/>
  <c r="AL57" i="15"/>
  <c r="AM23" i="15"/>
  <c r="O125" i="15"/>
  <c r="Q125" i="15"/>
  <c r="R125" i="15" s="1"/>
  <c r="F410" i="21"/>
  <c r="F418" i="21"/>
  <c r="F414" i="21"/>
  <c r="H652" i="21"/>
  <c r="H656" i="21"/>
  <c r="L111" i="15"/>
  <c r="G634" i="21"/>
  <c r="G638" i="21"/>
  <c r="G642" i="21"/>
  <c r="AI76" i="15"/>
  <c r="AJ57" i="15"/>
  <c r="L143" i="15"/>
  <c r="L146" i="15" s="1"/>
  <c r="L148" i="15" s="1"/>
  <c r="L149" i="15" s="1"/>
  <c r="G135" i="17" s="1"/>
  <c r="N143" i="15"/>
  <c r="M147" i="15" s="1"/>
  <c r="O147" i="15" s="1"/>
  <c r="H526" i="12"/>
  <c r="K50" i="20"/>
  <c r="H518" i="12"/>
  <c r="I630" i="21" s="1"/>
  <c r="G524" i="12"/>
  <c r="H548" i="12"/>
  <c r="G478" i="12"/>
  <c r="H560" i="21" s="1"/>
  <c r="F484" i="12"/>
  <c r="L14" i="21"/>
  <c r="L13" i="21" s="1"/>
  <c r="K17" i="27"/>
  <c r="G620" i="21"/>
  <c r="G624" i="21"/>
  <c r="G628" i="21"/>
  <c r="H529" i="12"/>
  <c r="G532" i="12"/>
  <c r="G745" i="12"/>
  <c r="F748" i="12"/>
  <c r="F558" i="21"/>
  <c r="F550" i="21"/>
  <c r="F554" i="21"/>
  <c r="O140" i="15"/>
  <c r="Q140" i="15"/>
  <c r="L126" i="15"/>
  <c r="L129" i="15" s="1"/>
  <c r="L131" i="15" s="1"/>
  <c r="L132" i="15" s="1"/>
  <c r="G54" i="17" s="1"/>
  <c r="N126" i="15"/>
  <c r="M130" i="15" s="1"/>
  <c r="O130" i="15" s="1"/>
  <c r="H425" i="12"/>
  <c r="L92" i="15"/>
  <c r="N92" i="15"/>
  <c r="O103" i="15"/>
  <c r="Q103" i="15"/>
  <c r="R103" i="15" s="1"/>
  <c r="O124" i="15"/>
  <c r="Q124" i="15"/>
  <c r="R124" i="15" s="1"/>
  <c r="N93" i="15"/>
  <c r="L93" i="15"/>
  <c r="O104" i="15"/>
  <c r="Q104" i="15"/>
  <c r="R104" i="15" s="1"/>
  <c r="O121" i="15"/>
  <c r="Q121" i="15"/>
  <c r="R121" i="15" s="1"/>
  <c r="H510" i="12"/>
  <c r="I616" i="21" s="1"/>
  <c r="O48" i="20"/>
  <c r="G526" i="21"/>
  <c r="G522" i="21"/>
  <c r="G530" i="21"/>
  <c r="R105" i="15"/>
  <c r="Q107" i="15"/>
  <c r="R107" i="15" s="1"/>
  <c r="O107" i="15"/>
  <c r="H446" i="12"/>
  <c r="I504" i="21" s="1"/>
  <c r="G452" i="12"/>
  <c r="I481" i="21"/>
  <c r="G574" i="12"/>
  <c r="F580" i="12"/>
  <c r="H662" i="21"/>
  <c r="H666" i="21"/>
  <c r="H670" i="21"/>
  <c r="I131" i="15"/>
  <c r="I132" i="15" s="1"/>
  <c r="F54" i="17" s="1"/>
  <c r="N66" i="27"/>
  <c r="O66" i="27" s="1"/>
  <c r="N76" i="27"/>
  <c r="N12" i="27"/>
  <c r="O12" i="27" s="1"/>
  <c r="O11" i="27"/>
  <c r="G494" i="21"/>
  <c r="G502" i="21"/>
  <c r="G498" i="21"/>
  <c r="H462" i="12"/>
  <c r="I532" i="21" s="1"/>
  <c r="I536" i="21" s="1"/>
  <c r="G468" i="12"/>
  <c r="O123" i="15"/>
  <c r="Q123" i="15"/>
  <c r="R123" i="15" s="1"/>
  <c r="I98" i="15"/>
  <c r="I99" i="15" s="1"/>
  <c r="F401" i="21" s="1"/>
  <c r="H566" i="12"/>
  <c r="G516" i="12"/>
  <c r="I463" i="21"/>
  <c r="B56" i="18"/>
  <c r="G572" i="12"/>
  <c r="L113" i="15"/>
  <c r="L114" i="15" s="1"/>
  <c r="H561" i="12"/>
  <c r="L88" i="15"/>
  <c r="N88" i="15"/>
  <c r="J97" i="15"/>
  <c r="L97" i="15" s="1"/>
  <c r="G606" i="21"/>
  <c r="G610" i="21"/>
  <c r="G614" i="21"/>
  <c r="Q122" i="15"/>
  <c r="O122" i="15"/>
  <c r="E756" i="12" l="1"/>
  <c r="E1040" i="21"/>
  <c r="F460" i="21"/>
  <c r="F1048" i="21"/>
  <c r="F1044" i="21"/>
  <c r="E1048" i="21"/>
  <c r="E404" i="21" s="1"/>
  <c r="F876" i="21"/>
  <c r="F880" i="21"/>
  <c r="F456" i="21"/>
  <c r="G1036" i="21"/>
  <c r="G1048" i="21" s="1"/>
  <c r="F756" i="12"/>
  <c r="D758" i="12"/>
  <c r="E136" i="17" s="1"/>
  <c r="E133" i="17" s="1"/>
  <c r="D17" i="13" s="1"/>
  <c r="F420" i="21"/>
  <c r="F398" i="12"/>
  <c r="E397" i="12"/>
  <c r="G470" i="21"/>
  <c r="G474" i="21"/>
  <c r="F428" i="12"/>
  <c r="G422" i="12"/>
  <c r="H462" i="21" s="1"/>
  <c r="H466" i="21" s="1"/>
  <c r="H476" i="12"/>
  <c r="I670" i="21"/>
  <c r="I666" i="21"/>
  <c r="H540" i="12"/>
  <c r="F412" i="12"/>
  <c r="G868" i="21"/>
  <c r="G872" i="21" s="1"/>
  <c r="G434" i="21"/>
  <c r="G438" i="21" s="1"/>
  <c r="E758" i="12"/>
  <c r="Q89" i="15"/>
  <c r="R89" i="15" s="1"/>
  <c r="O89" i="15"/>
  <c r="G448" i="21"/>
  <c r="F420" i="12"/>
  <c r="G414" i="12"/>
  <c r="Q91" i="15"/>
  <c r="R91" i="15" s="1"/>
  <c r="O91" i="15"/>
  <c r="G750" i="12"/>
  <c r="G712" i="21"/>
  <c r="E403" i="21"/>
  <c r="E402" i="21"/>
  <c r="I544" i="21"/>
  <c r="H728" i="21"/>
  <c r="H714" i="21"/>
  <c r="G736" i="21"/>
  <c r="G732" i="21"/>
  <c r="G740" i="21"/>
  <c r="G718" i="21"/>
  <c r="G726" i="21"/>
  <c r="H700" i="21"/>
  <c r="H708" i="21" s="1"/>
  <c r="H558" i="12"/>
  <c r="I700" i="21" s="1"/>
  <c r="I712" i="21" s="1"/>
  <c r="H694" i="21"/>
  <c r="H698" i="21"/>
  <c r="I634" i="21"/>
  <c r="I644" i="21"/>
  <c r="I652" i="21" s="1"/>
  <c r="I602" i="21"/>
  <c r="I606" i="21" s="1"/>
  <c r="H508" i="12"/>
  <c r="H592" i="21"/>
  <c r="H596" i="21"/>
  <c r="H600" i="21"/>
  <c r="I540" i="21"/>
  <c r="H434" i="21"/>
  <c r="H442" i="21" s="1"/>
  <c r="H868" i="21"/>
  <c r="F1023" i="21"/>
  <c r="F1026" i="21" s="1"/>
  <c r="F1038" i="21"/>
  <c r="I1034" i="21"/>
  <c r="I1030" i="21"/>
  <c r="F701" i="21"/>
  <c r="G701" i="21" s="1"/>
  <c r="F690" i="21"/>
  <c r="F1037" i="21"/>
  <c r="I719" i="21"/>
  <c r="H645" i="21"/>
  <c r="G648" i="21"/>
  <c r="H995" i="21"/>
  <c r="H1012" i="21"/>
  <c r="I1009" i="21"/>
  <c r="I1012" i="21" s="1"/>
  <c r="H687" i="21"/>
  <c r="G690" i="21"/>
  <c r="D136" i="17"/>
  <c r="D60" i="13"/>
  <c r="C24" i="13" s="1"/>
  <c r="C32" i="13"/>
  <c r="K32" i="13" s="1"/>
  <c r="K13" i="13"/>
  <c r="K20" i="13"/>
  <c r="D58" i="13"/>
  <c r="D87" i="27" s="1"/>
  <c r="D55" i="13"/>
  <c r="D101" i="27" s="1"/>
  <c r="E65" i="17"/>
  <c r="E52" i="17" s="1"/>
  <c r="D16" i="13" s="1"/>
  <c r="D86" i="27"/>
  <c r="L96" i="15"/>
  <c r="L98" i="15" s="1"/>
  <c r="L99" i="15" s="1"/>
  <c r="G401" i="21" s="1"/>
  <c r="G564" i="21"/>
  <c r="G568" i="21"/>
  <c r="G572" i="21"/>
  <c r="H486" i="12"/>
  <c r="I574" i="21" s="1"/>
  <c r="G492" i="12"/>
  <c r="H494" i="12"/>
  <c r="I588" i="21" s="1"/>
  <c r="G500" i="12"/>
  <c r="G444" i="12"/>
  <c r="H438" i="12"/>
  <c r="I490" i="21" s="1"/>
  <c r="H460" i="12"/>
  <c r="H512" i="21"/>
  <c r="H516" i="21"/>
  <c r="H508" i="21"/>
  <c r="G488" i="21"/>
  <c r="G484" i="21"/>
  <c r="G480" i="21"/>
  <c r="G676" i="21"/>
  <c r="G684" i="21"/>
  <c r="G680" i="21"/>
  <c r="H550" i="12"/>
  <c r="I686" i="21" s="1"/>
  <c r="G556" i="12"/>
  <c r="H572" i="12"/>
  <c r="G586" i="21"/>
  <c r="G582" i="21"/>
  <c r="G578" i="21"/>
  <c r="G412" i="12"/>
  <c r="H406" i="12"/>
  <c r="I642" i="21"/>
  <c r="I638" i="21"/>
  <c r="H532" i="12"/>
  <c r="H628" i="21"/>
  <c r="H624" i="21"/>
  <c r="H620" i="21"/>
  <c r="AI38" i="15"/>
  <c r="AJ38" i="15" s="1"/>
  <c r="AJ39" i="15" s="1"/>
  <c r="AJ40" i="15" s="1"/>
  <c r="N16" i="21" s="1"/>
  <c r="AJ76" i="15"/>
  <c r="AJ77" i="15" s="1"/>
  <c r="AJ78" i="15" s="1"/>
  <c r="M47" i="20" s="1"/>
  <c r="H745" i="12"/>
  <c r="H748" i="12" s="1"/>
  <c r="G748" i="12"/>
  <c r="AN23" i="15"/>
  <c r="AM24" i="15"/>
  <c r="R140" i="15"/>
  <c r="G414" i="21"/>
  <c r="G418" i="21"/>
  <c r="G410" i="21"/>
  <c r="AL76" i="15"/>
  <c r="AM57" i="15"/>
  <c r="H634" i="21"/>
  <c r="H638" i="21"/>
  <c r="H642" i="21"/>
  <c r="AJ58" i="15"/>
  <c r="AJ59" i="15" s="1"/>
  <c r="O111" i="15"/>
  <c r="O113" i="15" s="1"/>
  <c r="O114" i="15" s="1"/>
  <c r="Q92" i="15"/>
  <c r="R92" i="15" s="1"/>
  <c r="O92" i="15"/>
  <c r="G550" i="21"/>
  <c r="G554" i="21"/>
  <c r="G558" i="21"/>
  <c r="O143" i="15"/>
  <c r="O146" i="15" s="1"/>
  <c r="O148" i="15" s="1"/>
  <c r="O149" i="15" s="1"/>
  <c r="H135" i="17" s="1"/>
  <c r="Q143" i="15"/>
  <c r="R143" i="15" s="1"/>
  <c r="Q126" i="15"/>
  <c r="R126" i="15" s="1"/>
  <c r="O126" i="15"/>
  <c r="O129" i="15" s="1"/>
  <c r="O131" i="15" s="1"/>
  <c r="O132" i="15" s="1"/>
  <c r="H54" i="17" s="1"/>
  <c r="H478" i="12"/>
  <c r="I560" i="21" s="1"/>
  <c r="G484" i="12"/>
  <c r="H524" i="12"/>
  <c r="M14" i="21"/>
  <c r="M13" i="21" s="1"/>
  <c r="L17" i="27"/>
  <c r="Q93" i="15"/>
  <c r="R93" i="15" s="1"/>
  <c r="O93" i="15"/>
  <c r="P112" i="15"/>
  <c r="R112" i="15" s="1"/>
  <c r="H468" i="12"/>
  <c r="M97" i="15"/>
  <c r="O97" i="15" s="1"/>
  <c r="Q88" i="15"/>
  <c r="O88" i="15"/>
  <c r="H516" i="12"/>
  <c r="N15" i="27"/>
  <c r="N79" i="27" s="1"/>
  <c r="O76" i="27"/>
  <c r="R111" i="15"/>
  <c r="H452" i="12"/>
  <c r="H574" i="12"/>
  <c r="G580" i="12"/>
  <c r="H502" i="21"/>
  <c r="H498" i="21"/>
  <c r="H494" i="21"/>
  <c r="R122" i="15"/>
  <c r="B57" i="18"/>
  <c r="H526" i="21"/>
  <c r="H522" i="21"/>
  <c r="H530" i="21"/>
  <c r="H606" i="21"/>
  <c r="H610" i="21"/>
  <c r="H614" i="21"/>
  <c r="G442" i="21" l="1"/>
  <c r="G880" i="21"/>
  <c r="G876" i="21"/>
  <c r="G1044" i="21"/>
  <c r="I656" i="21"/>
  <c r="G65" i="17"/>
  <c r="G52" i="17" s="1"/>
  <c r="F16" i="13" s="1"/>
  <c r="D760" i="12"/>
  <c r="D13" i="13"/>
  <c r="L21" i="13" s="1"/>
  <c r="E91" i="27"/>
  <c r="F65" i="17"/>
  <c r="F52" i="17" s="1"/>
  <c r="F90" i="27" s="1"/>
  <c r="H1036" i="21"/>
  <c r="H1048" i="21" s="1"/>
  <c r="G756" i="12"/>
  <c r="E86" i="27"/>
  <c r="G420" i="21"/>
  <c r="G398" i="12"/>
  <c r="F404" i="12"/>
  <c r="F397" i="12" s="1"/>
  <c r="F432" i="21"/>
  <c r="F404" i="21" s="1"/>
  <c r="F428" i="21"/>
  <c r="F403" i="21" s="1"/>
  <c r="F424" i="21"/>
  <c r="G428" i="12"/>
  <c r="H474" i="21"/>
  <c r="H470" i="21"/>
  <c r="H422" i="12"/>
  <c r="I462" i="21" s="1"/>
  <c r="I466" i="21" s="1"/>
  <c r="H712" i="21"/>
  <c r="F86" i="27"/>
  <c r="E760" i="12"/>
  <c r="E13" i="13"/>
  <c r="M21" i="13" s="1"/>
  <c r="F136" i="17"/>
  <c r="F133" i="17" s="1"/>
  <c r="E17" i="13" s="1"/>
  <c r="G446" i="21"/>
  <c r="H448" i="21"/>
  <c r="H414" i="12"/>
  <c r="G420" i="12"/>
  <c r="G452" i="21"/>
  <c r="G460" i="21"/>
  <c r="G456" i="21"/>
  <c r="G1023" i="21"/>
  <c r="G1026" i="21" s="1"/>
  <c r="I708" i="21"/>
  <c r="H446" i="21"/>
  <c r="H438" i="21"/>
  <c r="H750" i="12"/>
  <c r="I614" i="21"/>
  <c r="I610" i="21"/>
  <c r="E399" i="21"/>
  <c r="D1053" i="21" s="1"/>
  <c r="H718" i="21"/>
  <c r="H726" i="21"/>
  <c r="I728" i="21"/>
  <c r="I714" i="21"/>
  <c r="H722" i="21"/>
  <c r="H736" i="21"/>
  <c r="H732" i="21"/>
  <c r="H740" i="21"/>
  <c r="H564" i="12"/>
  <c r="I694" i="21"/>
  <c r="I698" i="21"/>
  <c r="I600" i="21"/>
  <c r="I592" i="21"/>
  <c r="I596" i="21"/>
  <c r="I434" i="21"/>
  <c r="I442" i="21" s="1"/>
  <c r="I868" i="21"/>
  <c r="H876" i="21"/>
  <c r="H880" i="21"/>
  <c r="H872" i="21"/>
  <c r="R129" i="15"/>
  <c r="E27" i="20"/>
  <c r="E100" i="27"/>
  <c r="E29" i="20"/>
  <c r="F704" i="21"/>
  <c r="G1037" i="21"/>
  <c r="F1040" i="21"/>
  <c r="H998" i="21"/>
  <c r="I995" i="21"/>
  <c r="I998" i="21" s="1"/>
  <c r="I645" i="21"/>
  <c r="I648" i="21" s="1"/>
  <c r="H648" i="21"/>
  <c r="H690" i="21"/>
  <c r="I687" i="21"/>
  <c r="I690" i="21" s="1"/>
  <c r="H701" i="21"/>
  <c r="G704" i="21"/>
  <c r="E88" i="27"/>
  <c r="E25" i="20"/>
  <c r="P130" i="15"/>
  <c r="R130" i="15" s="1"/>
  <c r="R131" i="15" s="1"/>
  <c r="R132" i="15" s="1"/>
  <c r="I54" i="17" s="1"/>
  <c r="E90" i="27"/>
  <c r="O96" i="15"/>
  <c r="H492" i="12"/>
  <c r="H572" i="21"/>
  <c r="H564" i="21"/>
  <c r="H568" i="21"/>
  <c r="I508" i="21"/>
  <c r="I512" i="21"/>
  <c r="I516" i="21"/>
  <c r="H444" i="12"/>
  <c r="H556" i="12"/>
  <c r="H484" i="21"/>
  <c r="H488" i="21"/>
  <c r="H480" i="21"/>
  <c r="H586" i="21"/>
  <c r="H582" i="21"/>
  <c r="H578" i="21"/>
  <c r="H684" i="21"/>
  <c r="H680" i="21"/>
  <c r="H676" i="21"/>
  <c r="H500" i="12"/>
  <c r="H412" i="12"/>
  <c r="H418" i="21"/>
  <c r="H414" i="21"/>
  <c r="H410" i="21"/>
  <c r="M50" i="20"/>
  <c r="H484" i="12"/>
  <c r="M17" i="27"/>
  <c r="N14" i="21"/>
  <c r="N13" i="21" s="1"/>
  <c r="P147" i="15"/>
  <c r="R147" i="15" s="1"/>
  <c r="I620" i="21"/>
  <c r="I624" i="21"/>
  <c r="I628" i="21"/>
  <c r="AN57" i="15"/>
  <c r="AM58" i="15"/>
  <c r="AN58" i="15" s="1"/>
  <c r="R146" i="15"/>
  <c r="AM76" i="15"/>
  <c r="AL38" i="15"/>
  <c r="AM38" i="15" s="1"/>
  <c r="AN24" i="15"/>
  <c r="AN25" i="15" s="1"/>
  <c r="AM25" i="15"/>
  <c r="H554" i="21"/>
  <c r="H558" i="21"/>
  <c r="H550" i="21"/>
  <c r="B58" i="18"/>
  <c r="O98" i="15"/>
  <c r="O99" i="15" s="1"/>
  <c r="H401" i="21" s="1"/>
  <c r="I522" i="21"/>
  <c r="I526" i="21"/>
  <c r="I530" i="21"/>
  <c r="I502" i="21"/>
  <c r="I498" i="21"/>
  <c r="I494" i="21"/>
  <c r="H580" i="12"/>
  <c r="R88" i="15"/>
  <c r="R96" i="15" s="1"/>
  <c r="P97" i="15"/>
  <c r="R97" i="15" s="1"/>
  <c r="R113" i="15"/>
  <c r="R114" i="15" s="1"/>
  <c r="E97" i="27"/>
  <c r="K24" i="13"/>
  <c r="L16" i="13" l="1"/>
  <c r="L20" i="13"/>
  <c r="E58" i="13"/>
  <c r="F88" i="27" s="1"/>
  <c r="I470" i="21"/>
  <c r="L13" i="13"/>
  <c r="H1044" i="21"/>
  <c r="E60" i="13"/>
  <c r="F29" i="20" s="1"/>
  <c r="G90" i="27"/>
  <c r="D32" i="13"/>
  <c r="L32" i="13" s="1"/>
  <c r="E55" i="13"/>
  <c r="E101" i="27" s="1"/>
  <c r="L17" i="13"/>
  <c r="E16" i="13"/>
  <c r="M16" i="13" s="1"/>
  <c r="I1036" i="21"/>
  <c r="I1048" i="21" s="1"/>
  <c r="H756" i="12"/>
  <c r="F758" i="12"/>
  <c r="H65" i="17" s="1"/>
  <c r="H52" i="17" s="1"/>
  <c r="G16" i="13" s="1"/>
  <c r="H420" i="21"/>
  <c r="H398" i="12"/>
  <c r="G404" i="12"/>
  <c r="G397" i="12" s="1"/>
  <c r="G424" i="21"/>
  <c r="G428" i="21"/>
  <c r="G403" i="21" s="1"/>
  <c r="G432" i="21"/>
  <c r="G404" i="21" s="1"/>
  <c r="H428" i="12"/>
  <c r="I474" i="21"/>
  <c r="E87" i="27"/>
  <c r="M17" i="13"/>
  <c r="F58" i="13"/>
  <c r="G27" i="20" s="1"/>
  <c r="E32" i="13"/>
  <c r="M32" i="13" s="1"/>
  <c r="F55" i="13"/>
  <c r="G25" i="20" s="1"/>
  <c r="F60" i="13"/>
  <c r="G29" i="20" s="1"/>
  <c r="F91" i="27"/>
  <c r="M20" i="13"/>
  <c r="M13" i="13"/>
  <c r="I448" i="21"/>
  <c r="H420" i="12"/>
  <c r="H460" i="21"/>
  <c r="H456" i="21"/>
  <c r="H452" i="21"/>
  <c r="H1023" i="21"/>
  <c r="E398" i="21"/>
  <c r="E80" i="13"/>
  <c r="D25" i="13" s="1"/>
  <c r="L25" i="13" s="1"/>
  <c r="E89" i="27"/>
  <c r="E59" i="13"/>
  <c r="F28" i="20" s="1"/>
  <c r="E78" i="13"/>
  <c r="E95" i="27" s="1"/>
  <c r="F96" i="27" s="1"/>
  <c r="AN59" i="15"/>
  <c r="D54" i="17" s="1"/>
  <c r="D52" i="17" s="1"/>
  <c r="D90" i="27" s="1"/>
  <c r="I438" i="21"/>
  <c r="I446" i="21"/>
  <c r="I736" i="21"/>
  <c r="I732" i="21"/>
  <c r="I740" i="21"/>
  <c r="I718" i="21"/>
  <c r="I726" i="21"/>
  <c r="I722" i="21"/>
  <c r="I880" i="21"/>
  <c r="I876" i="21"/>
  <c r="I872" i="21"/>
  <c r="F402" i="21"/>
  <c r="F399" i="21" s="1"/>
  <c r="F80" i="13" s="1"/>
  <c r="G35" i="20" s="1"/>
  <c r="R148" i="15"/>
  <c r="R149" i="15" s="1"/>
  <c r="I135" i="17" s="1"/>
  <c r="H1037" i="21"/>
  <c r="G1040" i="21"/>
  <c r="G402" i="21" s="1"/>
  <c r="I701" i="21"/>
  <c r="I704" i="21" s="1"/>
  <c r="H704" i="21"/>
  <c r="I568" i="21"/>
  <c r="I564" i="21"/>
  <c r="I572" i="21"/>
  <c r="I480" i="21"/>
  <c r="I488" i="21"/>
  <c r="I484" i="21"/>
  <c r="I680" i="21"/>
  <c r="I684" i="21"/>
  <c r="I676" i="21"/>
  <c r="I582" i="21"/>
  <c r="I578" i="21"/>
  <c r="I586" i="21"/>
  <c r="AN38" i="15"/>
  <c r="AM39" i="15"/>
  <c r="AN39" i="15" s="1"/>
  <c r="I550" i="21"/>
  <c r="I558" i="21"/>
  <c r="I554" i="21"/>
  <c r="AN76" i="15"/>
  <c r="AM77" i="15"/>
  <c r="AN77" i="15" s="1"/>
  <c r="AM59" i="15"/>
  <c r="I410" i="21"/>
  <c r="I418" i="21"/>
  <c r="I414" i="21"/>
  <c r="R98" i="15"/>
  <c r="R99" i="15" s="1"/>
  <c r="I401" i="21" s="1"/>
  <c r="B59" i="18"/>
  <c r="F27" i="20" l="1"/>
  <c r="I1044" i="21"/>
  <c r="D24" i="13"/>
  <c r="L24" i="13" s="1"/>
  <c r="F25" i="20"/>
  <c r="F100" i="27"/>
  <c r="F13" i="13"/>
  <c r="N13" i="13" s="1"/>
  <c r="H90" i="27"/>
  <c r="G86" i="27"/>
  <c r="F760" i="12"/>
  <c r="G136" i="17"/>
  <c r="G133" i="17" s="1"/>
  <c r="F17" i="13" s="1"/>
  <c r="I420" i="21"/>
  <c r="H404" i="12"/>
  <c r="H397" i="12" s="1"/>
  <c r="H428" i="21"/>
  <c r="H403" i="21" s="1"/>
  <c r="H432" i="21"/>
  <c r="H404" i="21" s="1"/>
  <c r="H424" i="21"/>
  <c r="G399" i="21"/>
  <c r="F1053" i="21" s="1"/>
  <c r="G758" i="12"/>
  <c r="G88" i="27"/>
  <c r="F87" i="27"/>
  <c r="G100" i="27"/>
  <c r="F101" i="27"/>
  <c r="E24" i="13"/>
  <c r="M24" i="13" s="1"/>
  <c r="F98" i="27"/>
  <c r="F35" i="20"/>
  <c r="I460" i="21"/>
  <c r="I452" i="21"/>
  <c r="I456" i="21"/>
  <c r="I1023" i="21"/>
  <c r="I1026" i="21" s="1"/>
  <c r="H1026" i="21"/>
  <c r="C16" i="13"/>
  <c r="K16" i="13" s="1"/>
  <c r="F33" i="20"/>
  <c r="K78" i="13"/>
  <c r="F89" i="27"/>
  <c r="F397" i="21"/>
  <c r="F78" i="13"/>
  <c r="L78" i="13" s="1"/>
  <c r="E25" i="13"/>
  <c r="M25" i="13" s="1"/>
  <c r="F59" i="13"/>
  <c r="G28" i="20" s="1"/>
  <c r="G30" i="20" s="1"/>
  <c r="E1053" i="21"/>
  <c r="F398" i="21"/>
  <c r="I1037" i="21"/>
  <c r="I1040" i="21" s="1"/>
  <c r="H1040" i="21"/>
  <c r="AM40" i="15"/>
  <c r="O16" i="21" s="1"/>
  <c r="N44" i="20"/>
  <c r="AM78" i="15"/>
  <c r="N47" i="20" s="1"/>
  <c r="AN40" i="15"/>
  <c r="AN78" i="15"/>
  <c r="D135" i="17" s="1"/>
  <c r="D133" i="17" s="1"/>
  <c r="B60" i="18"/>
  <c r="F30" i="20" l="1"/>
  <c r="F97" i="27"/>
  <c r="G55" i="13"/>
  <c r="H25" i="20" s="1"/>
  <c r="N17" i="13"/>
  <c r="N16" i="13"/>
  <c r="G60" i="13"/>
  <c r="H29" i="20" s="1"/>
  <c r="N21" i="13"/>
  <c r="G58" i="13"/>
  <c r="H88" i="27" s="1"/>
  <c r="G91" i="27"/>
  <c r="F32" i="13"/>
  <c r="N32" i="13" s="1"/>
  <c r="N20" i="13"/>
  <c r="G78" i="13"/>
  <c r="H33" i="20" s="1"/>
  <c r="G397" i="21"/>
  <c r="G398" i="21"/>
  <c r="G80" i="13"/>
  <c r="H35" i="20" s="1"/>
  <c r="H758" i="12"/>
  <c r="H760" i="12" s="1"/>
  <c r="G89" i="27"/>
  <c r="G59" i="13"/>
  <c r="H28" i="20" s="1"/>
  <c r="H136" i="17"/>
  <c r="H133" i="17" s="1"/>
  <c r="I65" i="17"/>
  <c r="I52" i="17" s="1"/>
  <c r="G760" i="12"/>
  <c r="G13" i="13"/>
  <c r="H86" i="27"/>
  <c r="I432" i="21"/>
  <c r="I404" i="21" s="1"/>
  <c r="I428" i="21"/>
  <c r="I403" i="21" s="1"/>
  <c r="I424" i="21"/>
  <c r="I402" i="21" s="1"/>
  <c r="G101" i="27"/>
  <c r="H402" i="21"/>
  <c r="H399" i="21" s="1"/>
  <c r="G1053" i="21" s="1"/>
  <c r="G97" i="27"/>
  <c r="D15" i="20"/>
  <c r="G33" i="20"/>
  <c r="F95" i="27"/>
  <c r="G96" i="27" s="1"/>
  <c r="G98" i="27"/>
  <c r="E14" i="13"/>
  <c r="M14" i="13" s="1"/>
  <c r="P20" i="13"/>
  <c r="D91" i="27"/>
  <c r="C17" i="13"/>
  <c r="D401" i="21"/>
  <c r="D399" i="21" s="1"/>
  <c r="P16" i="21"/>
  <c r="P14" i="21" s="1"/>
  <c r="N50" i="20"/>
  <c r="O47" i="20"/>
  <c r="O50" i="20" s="1"/>
  <c r="N25" i="27"/>
  <c r="N46" i="20"/>
  <c r="O44" i="20"/>
  <c r="O46" i="20" s="1"/>
  <c r="O14" i="21"/>
  <c r="O13" i="21" s="1"/>
  <c r="N17" i="27"/>
  <c r="O17" i="27" s="1"/>
  <c r="B61" i="18"/>
  <c r="H100" i="27" l="1"/>
  <c r="F24" i="13"/>
  <c r="N24" i="13" s="1"/>
  <c r="G87" i="27"/>
  <c r="M78" i="13"/>
  <c r="G95" i="27"/>
  <c r="H96" i="27" s="1"/>
  <c r="H27" i="20"/>
  <c r="H30" i="20" s="1"/>
  <c r="F14" i="13"/>
  <c r="N14" i="13" s="1"/>
  <c r="F25" i="13"/>
  <c r="H98" i="27" s="1"/>
  <c r="I86" i="27"/>
  <c r="I136" i="17"/>
  <c r="I133" i="17" s="1"/>
  <c r="H17" i="13" s="1"/>
  <c r="H55" i="13"/>
  <c r="O21" i="13"/>
  <c r="O20" i="13"/>
  <c r="H58" i="13"/>
  <c r="H60" i="13"/>
  <c r="O13" i="13"/>
  <c r="G32" i="13"/>
  <c r="O32" i="13" s="1"/>
  <c r="O16" i="13"/>
  <c r="I399" i="21"/>
  <c r="I80" i="13" s="1"/>
  <c r="J35" i="20" s="1"/>
  <c r="H13" i="13"/>
  <c r="I55" i="13" s="1"/>
  <c r="I101" i="27" s="1"/>
  <c r="I90" i="27"/>
  <c r="H16" i="13"/>
  <c r="H91" i="27"/>
  <c r="G17" i="13"/>
  <c r="O17" i="13" s="1"/>
  <c r="H59" i="13"/>
  <c r="I28" i="20" s="1"/>
  <c r="H78" i="13"/>
  <c r="N78" i="13" s="1"/>
  <c r="H80" i="13"/>
  <c r="G25" i="13" s="1"/>
  <c r="O25" i="13" s="1"/>
  <c r="H89" i="27"/>
  <c r="H397" i="21"/>
  <c r="H398" i="21"/>
  <c r="E15" i="13"/>
  <c r="E102" i="13" s="1"/>
  <c r="N61" i="27"/>
  <c r="O61" i="27" s="1"/>
  <c r="O25" i="27"/>
  <c r="D16" i="20"/>
  <c r="K17" i="13"/>
  <c r="B62" i="18"/>
  <c r="H97" i="27" l="1"/>
  <c r="F15" i="13"/>
  <c r="F102" i="13" s="1"/>
  <c r="I89" i="27"/>
  <c r="N25" i="13"/>
  <c r="I60" i="13"/>
  <c r="J29" i="20" s="1"/>
  <c r="I58" i="13"/>
  <c r="J27" i="20" s="1"/>
  <c r="I398" i="21"/>
  <c r="H25" i="13"/>
  <c r="P25" i="13" s="1"/>
  <c r="I78" i="13"/>
  <c r="J33" i="20" s="1"/>
  <c r="I59" i="13"/>
  <c r="J28" i="20" s="1"/>
  <c r="P16" i="13"/>
  <c r="P13" i="13"/>
  <c r="I397" i="21"/>
  <c r="H32" i="13"/>
  <c r="H29" i="13" s="1"/>
  <c r="P17" i="13"/>
  <c r="I29" i="20"/>
  <c r="G24" i="13"/>
  <c r="I91" i="27"/>
  <c r="J25" i="20"/>
  <c r="H101" i="27"/>
  <c r="I25" i="20"/>
  <c r="I100" i="27"/>
  <c r="I88" i="27"/>
  <c r="H87" i="27"/>
  <c r="I27" i="20"/>
  <c r="H95" i="27"/>
  <c r="I96" i="27" s="1"/>
  <c r="I33" i="20"/>
  <c r="G14" i="13"/>
  <c r="O14" i="13" s="1"/>
  <c r="I98" i="27"/>
  <c r="I35" i="20"/>
  <c r="E18" i="13"/>
  <c r="E103" i="13" s="1"/>
  <c r="M15" i="13"/>
  <c r="C1053" i="21"/>
  <c r="E397" i="21"/>
  <c r="D78" i="13"/>
  <c r="D80" i="13"/>
  <c r="D89" i="27"/>
  <c r="D59" i="13"/>
  <c r="C14" i="13" s="1"/>
  <c r="B63" i="18"/>
  <c r="F18" i="13" l="1"/>
  <c r="F22" i="13" s="1"/>
  <c r="F107" i="13" s="1"/>
  <c r="F108" i="13" s="1"/>
  <c r="N15" i="13"/>
  <c r="H24" i="13"/>
  <c r="P24" i="13" s="1"/>
  <c r="P32" i="13"/>
  <c r="J30" i="20"/>
  <c r="I95" i="27"/>
  <c r="H14" i="13"/>
  <c r="P14" i="13" s="1"/>
  <c r="I87" i="27"/>
  <c r="P29" i="13"/>
  <c r="I93" i="27"/>
  <c r="I30" i="20"/>
  <c r="I97" i="27"/>
  <c r="O24" i="13"/>
  <c r="G15" i="13"/>
  <c r="G18" i="13" s="1"/>
  <c r="G22" i="13" s="1"/>
  <c r="M18" i="13"/>
  <c r="E22" i="13"/>
  <c r="N18" i="13"/>
  <c r="E28" i="20"/>
  <c r="E30" i="20" s="1"/>
  <c r="D14" i="13"/>
  <c r="C25" i="13"/>
  <c r="E35" i="20"/>
  <c r="D19" i="27"/>
  <c r="D24" i="27" s="1"/>
  <c r="J78" i="13"/>
  <c r="E19" i="27"/>
  <c r="E24" i="27" s="1"/>
  <c r="N19" i="27"/>
  <c r="N24" i="27" s="1"/>
  <c r="K19" i="27"/>
  <c r="K24" i="27" s="1"/>
  <c r="F19" i="27"/>
  <c r="F24" i="27" s="1"/>
  <c r="D95" i="27"/>
  <c r="E96" i="27" s="1"/>
  <c r="L19" i="27"/>
  <c r="L24" i="27" s="1"/>
  <c r="E33" i="20"/>
  <c r="J19" i="27"/>
  <c r="J24" i="27" s="1"/>
  <c r="C19" i="27"/>
  <c r="I19" i="27"/>
  <c r="I24" i="27" s="1"/>
  <c r="M19" i="27"/>
  <c r="M24" i="27" s="1"/>
  <c r="G19" i="27"/>
  <c r="G24" i="27" s="1"/>
  <c r="H19" i="27"/>
  <c r="H24" i="27" s="1"/>
  <c r="G16" i="22"/>
  <c r="B64" i="18"/>
  <c r="N22" i="13" l="1"/>
  <c r="F26" i="13"/>
  <c r="F103" i="13"/>
  <c r="H15" i="13"/>
  <c r="H102" i="13" s="1"/>
  <c r="G103" i="13"/>
  <c r="O18" i="13"/>
  <c r="G102" i="13"/>
  <c r="O15" i="13"/>
  <c r="M22" i="13"/>
  <c r="F16" i="22"/>
  <c r="F18" i="22" s="1"/>
  <c r="F20" i="22" s="1"/>
  <c r="F24" i="22" s="1"/>
  <c r="E26" i="13"/>
  <c r="M26" i="13" s="1"/>
  <c r="E107" i="13"/>
  <c r="E108" i="13" s="1"/>
  <c r="O19" i="27"/>
  <c r="C24" i="27"/>
  <c r="E98" i="27"/>
  <c r="K25" i="13"/>
  <c r="L14" i="13"/>
  <c r="D15" i="13"/>
  <c r="D12" i="20"/>
  <c r="D13" i="20" s="1"/>
  <c r="D18" i="20" s="1"/>
  <c r="D25" i="20" s="1"/>
  <c r="D30" i="20" s="1"/>
  <c r="K14" i="13"/>
  <c r="C15" i="13"/>
  <c r="C102" i="13" s="1"/>
  <c r="G18" i="22"/>
  <c r="G20" i="22" s="1"/>
  <c r="G24" i="22" s="1"/>
  <c r="N26" i="13"/>
  <c r="B65" i="18"/>
  <c r="G107" i="13"/>
  <c r="G108" i="13" s="1"/>
  <c r="G26" i="13"/>
  <c r="O22" i="13"/>
  <c r="H16" i="22"/>
  <c r="H18" i="13" l="1"/>
  <c r="H103" i="13" s="1"/>
  <c r="P15" i="13"/>
  <c r="D38" i="20"/>
  <c r="C26" i="22"/>
  <c r="C31" i="22" s="1"/>
  <c r="C35" i="22" s="1"/>
  <c r="D18" i="13"/>
  <c r="L15" i="13"/>
  <c r="D102" i="13"/>
  <c r="O24" i="27"/>
  <c r="C18" i="13"/>
  <c r="K15" i="13"/>
  <c r="B66" i="18"/>
  <c r="H18" i="22"/>
  <c r="H20" i="22" s="1"/>
  <c r="H24" i="22" s="1"/>
  <c r="O26" i="13"/>
  <c r="P18" i="13" l="1"/>
  <c r="H22" i="13"/>
  <c r="H107" i="13" s="1"/>
  <c r="H108" i="13" s="1"/>
  <c r="C103" i="13"/>
  <c r="C22" i="13"/>
  <c r="K18" i="13"/>
  <c r="L18" i="13"/>
  <c r="D22" i="13"/>
  <c r="D103" i="13"/>
  <c r="C71" i="22"/>
  <c r="C53" i="22"/>
  <c r="C56" i="22"/>
  <c r="C74" i="22"/>
  <c r="C56" i="13"/>
  <c r="E178" i="14"/>
  <c r="E180" i="14" s="1"/>
  <c r="F11" i="18" s="1"/>
  <c r="B67" i="18"/>
  <c r="P22" i="13" l="1"/>
  <c r="I16" i="22"/>
  <c r="I18" i="22" s="1"/>
  <c r="I20" i="22" s="1"/>
  <c r="I24" i="22" s="1"/>
  <c r="H26" i="13"/>
  <c r="H34" i="13" s="1"/>
  <c r="P34" i="13" s="1"/>
  <c r="C107" i="13"/>
  <c r="C108" i="13" s="1"/>
  <c r="L22" i="13"/>
  <c r="D107" i="13"/>
  <c r="D108" i="13" s="1"/>
  <c r="E16" i="22"/>
  <c r="E18" i="22" s="1"/>
  <c r="E20" i="22" s="1"/>
  <c r="E24" i="22" s="1"/>
  <c r="D26" i="13"/>
  <c r="L26" i="13" s="1"/>
  <c r="F14" i="18"/>
  <c r="C26" i="18" s="1"/>
  <c r="G41" i="18" s="1"/>
  <c r="G11" i="18"/>
  <c r="G12" i="18" s="1"/>
  <c r="C61" i="13"/>
  <c r="C74" i="13" s="1"/>
  <c r="C113" i="13" s="1"/>
  <c r="C14" i="27"/>
  <c r="D100" i="27"/>
  <c r="K22" i="13"/>
  <c r="D16" i="22"/>
  <c r="D18" i="22" s="1"/>
  <c r="D20" i="22" s="1"/>
  <c r="D24" i="22" s="1"/>
  <c r="C26" i="13"/>
  <c r="B68" i="18"/>
  <c r="F67" i="18" l="1"/>
  <c r="F42" i="18"/>
  <c r="F43" i="18"/>
  <c r="D63" i="27" s="1"/>
  <c r="F44" i="18"/>
  <c r="E63" i="27" s="1"/>
  <c r="F45" i="18"/>
  <c r="F63" i="27" s="1"/>
  <c r="F46" i="18"/>
  <c r="G63" i="27" s="1"/>
  <c r="F47" i="18"/>
  <c r="H63" i="27" s="1"/>
  <c r="F48" i="18"/>
  <c r="I63" i="27" s="1"/>
  <c r="F49" i="18"/>
  <c r="J63" i="27" s="1"/>
  <c r="F50" i="18"/>
  <c r="K63" i="27" s="1"/>
  <c r="F51" i="18"/>
  <c r="L63" i="27" s="1"/>
  <c r="F52" i="18"/>
  <c r="M63" i="27" s="1"/>
  <c r="F53" i="18"/>
  <c r="N63" i="27" s="1"/>
  <c r="P26" i="13"/>
  <c r="H35" i="13"/>
  <c r="H36" i="13" s="1"/>
  <c r="P36" i="13" s="1"/>
  <c r="C42" i="18"/>
  <c r="F54" i="18"/>
  <c r="F55" i="18"/>
  <c r="F56" i="18"/>
  <c r="F57" i="18"/>
  <c r="F58" i="18"/>
  <c r="F59" i="18"/>
  <c r="F60" i="18"/>
  <c r="F61" i="18"/>
  <c r="F62" i="18"/>
  <c r="F63" i="18"/>
  <c r="F64" i="18"/>
  <c r="F65" i="18"/>
  <c r="F66" i="18"/>
  <c r="G14" i="18"/>
  <c r="C84" i="13"/>
  <c r="C85" i="13" s="1"/>
  <c r="C95" i="13" s="1"/>
  <c r="C96" i="13" s="1"/>
  <c r="K41" i="18"/>
  <c r="K26" i="13"/>
  <c r="C15" i="27"/>
  <c r="O14" i="27"/>
  <c r="F68" i="18"/>
  <c r="B69" i="18"/>
  <c r="C63" i="27" l="1"/>
  <c r="O63" i="27" s="1"/>
  <c r="D92" i="27"/>
  <c r="H104" i="13"/>
  <c r="P35" i="13"/>
  <c r="I79" i="13"/>
  <c r="J34" i="20" s="1"/>
  <c r="J36" i="20" s="1"/>
  <c r="J38" i="20" s="1"/>
  <c r="H38" i="13"/>
  <c r="I89" i="13" s="1"/>
  <c r="D42" i="18"/>
  <c r="C64" i="27" s="1"/>
  <c r="C70" i="27" s="1"/>
  <c r="C78" i="27" s="1"/>
  <c r="G42" i="18"/>
  <c r="C43" i="18" s="1"/>
  <c r="E92" i="27"/>
  <c r="C79" i="27"/>
  <c r="O15" i="27"/>
  <c r="F69" i="18"/>
  <c r="B70" i="18"/>
  <c r="I82" i="13" l="1"/>
  <c r="H39" i="13"/>
  <c r="H111" i="13" s="1"/>
  <c r="D43" i="18"/>
  <c r="G43" i="18"/>
  <c r="C44" i="18" s="1"/>
  <c r="E42" i="18"/>
  <c r="O79" i="27"/>
  <c r="F70" i="18"/>
  <c r="B71" i="18"/>
  <c r="I92" i="13" l="1"/>
  <c r="D44" i="18"/>
  <c r="G44" i="18"/>
  <c r="C45" i="18" s="1"/>
  <c r="J42" i="18"/>
  <c r="K42" i="18" s="1"/>
  <c r="D64" i="27"/>
  <c r="D70" i="27" s="1"/>
  <c r="D78" i="27" s="1"/>
  <c r="E43" i="18"/>
  <c r="B72" i="18"/>
  <c r="F71" i="18"/>
  <c r="J43" i="18" l="1"/>
  <c r="K43" i="18" s="1"/>
  <c r="D45" i="18"/>
  <c r="G45" i="18"/>
  <c r="C46" i="18" s="1"/>
  <c r="E64" i="27"/>
  <c r="E70" i="27" s="1"/>
  <c r="E78" i="27" s="1"/>
  <c r="E44" i="18"/>
  <c r="C80" i="27"/>
  <c r="D10" i="27" s="1"/>
  <c r="D80" i="27" s="1"/>
  <c r="E10" i="27" s="1"/>
  <c r="B73" i="18"/>
  <c r="F72" i="18"/>
  <c r="J44" i="18" l="1"/>
  <c r="K44" i="18" s="1"/>
  <c r="D46" i="18"/>
  <c r="G46" i="18"/>
  <c r="C47" i="18" s="1"/>
  <c r="E80" i="27"/>
  <c r="F10" i="27" s="1"/>
  <c r="F64" i="27"/>
  <c r="E45" i="18"/>
  <c r="F73" i="18"/>
  <c r="B74" i="18"/>
  <c r="J45" i="18" l="1"/>
  <c r="K45" i="18" s="1"/>
  <c r="F70" i="27"/>
  <c r="F78" i="27" s="1"/>
  <c r="F80" i="27" s="1"/>
  <c r="G10" i="27" s="1"/>
  <c r="G47" i="18"/>
  <c r="C48" i="18" s="1"/>
  <c r="D47" i="18"/>
  <c r="E46" i="18"/>
  <c r="G64" i="27"/>
  <c r="G70" i="27" s="1"/>
  <c r="G78" i="27" s="1"/>
  <c r="B75" i="18"/>
  <c r="F74" i="18"/>
  <c r="J46" i="18" l="1"/>
  <c r="K46" i="18" s="1"/>
  <c r="G80" i="27"/>
  <c r="H10" i="27" s="1"/>
  <c r="H64" i="27"/>
  <c r="E47" i="18"/>
  <c r="D48" i="18"/>
  <c r="G48" i="18"/>
  <c r="C49" i="18" s="1"/>
  <c r="F75" i="18"/>
  <c r="B76" i="18"/>
  <c r="J47" i="18" l="1"/>
  <c r="K47" i="18" s="1"/>
  <c r="G49" i="18"/>
  <c r="C50" i="18" s="1"/>
  <c r="D49" i="18"/>
  <c r="E48" i="18"/>
  <c r="I64" i="27"/>
  <c r="I70" i="27" s="1"/>
  <c r="I78" i="27" s="1"/>
  <c r="H70" i="27"/>
  <c r="H78" i="27" s="1"/>
  <c r="B77" i="18"/>
  <c r="F76" i="18"/>
  <c r="J64" i="27" l="1"/>
  <c r="E49" i="18"/>
  <c r="H80" i="27"/>
  <c r="I10" i="27" s="1"/>
  <c r="J48" i="18"/>
  <c r="K48" i="18" s="1"/>
  <c r="D50" i="18"/>
  <c r="G50" i="18"/>
  <c r="C51" i="18" s="1"/>
  <c r="F77" i="18"/>
  <c r="F92" i="27" s="1"/>
  <c r="B78" i="18"/>
  <c r="E50" i="18" l="1"/>
  <c r="K64" i="27"/>
  <c r="K70" i="27" s="1"/>
  <c r="K78" i="27" s="1"/>
  <c r="I80" i="27"/>
  <c r="J10" i="27" s="1"/>
  <c r="J49" i="18"/>
  <c r="K49" i="18" s="1"/>
  <c r="G51" i="18"/>
  <c r="C52" i="18" s="1"/>
  <c r="D51" i="18"/>
  <c r="J70" i="27"/>
  <c r="J78" i="27" s="1"/>
  <c r="B79" i="18"/>
  <c r="F78" i="18"/>
  <c r="L64" i="27" l="1"/>
  <c r="L70" i="27" s="1"/>
  <c r="L78" i="27" s="1"/>
  <c r="E51" i="18"/>
  <c r="D52" i="18"/>
  <c r="G52" i="18"/>
  <c r="C53" i="18" s="1"/>
  <c r="J80" i="27"/>
  <c r="K10" i="27" s="1"/>
  <c r="J50" i="18"/>
  <c r="K50" i="18" s="1"/>
  <c r="F79" i="18"/>
  <c r="B80" i="18"/>
  <c r="K80" i="27" l="1"/>
  <c r="L10" i="27" s="1"/>
  <c r="L80" i="27" s="1"/>
  <c r="M10" i="27" s="1"/>
  <c r="G53" i="18"/>
  <c r="D53" i="18"/>
  <c r="M64" i="27"/>
  <c r="M70" i="27" s="1"/>
  <c r="M78" i="27" s="1"/>
  <c r="E52" i="18"/>
  <c r="J51" i="18"/>
  <c r="K51" i="18" s="1"/>
  <c r="B81" i="18"/>
  <c r="F80" i="18"/>
  <c r="J52" i="18" l="1"/>
  <c r="K52" i="18" s="1"/>
  <c r="E53" i="18"/>
  <c r="N64" i="27"/>
  <c r="C30" i="13"/>
  <c r="D84" i="13"/>
  <c r="C54" i="18"/>
  <c r="M80" i="27"/>
  <c r="N10" i="27" s="1"/>
  <c r="F81" i="18"/>
  <c r="B82" i="18"/>
  <c r="J53" i="18" l="1"/>
  <c r="K53" i="18" s="1"/>
  <c r="D33" i="22"/>
  <c r="O10" i="27"/>
  <c r="D54" i="18"/>
  <c r="G54" i="18"/>
  <c r="C55" i="18" s="1"/>
  <c r="K30" i="13"/>
  <c r="C29" i="13"/>
  <c r="N70" i="27"/>
  <c r="O64" i="27"/>
  <c r="F82" i="18"/>
  <c r="B83" i="18"/>
  <c r="E54" i="18" l="1"/>
  <c r="D93" i="27"/>
  <c r="D104" i="27" s="1"/>
  <c r="K29" i="13"/>
  <c r="C34" i="13"/>
  <c r="G55" i="18"/>
  <c r="C56" i="18" s="1"/>
  <c r="D55" i="18"/>
  <c r="E55" i="18" s="1"/>
  <c r="O70" i="27"/>
  <c r="N78" i="27"/>
  <c r="B84" i="18"/>
  <c r="F83" i="18"/>
  <c r="D56" i="18" l="1"/>
  <c r="E56" i="18" s="1"/>
  <c r="G56" i="18"/>
  <c r="C57" i="18" s="1"/>
  <c r="K34" i="13"/>
  <c r="C35" i="13"/>
  <c r="D56" i="13"/>
  <c r="D61" i="13" s="1"/>
  <c r="E84" i="27"/>
  <c r="C121" i="18"/>
  <c r="O78" i="27"/>
  <c r="N80" i="27"/>
  <c r="O80" i="27" s="1"/>
  <c r="J54" i="18"/>
  <c r="K54" i="18" s="1"/>
  <c r="F84" i="18"/>
  <c r="B85" i="18"/>
  <c r="C36" i="13" l="1"/>
  <c r="D79" i="13"/>
  <c r="K35" i="13"/>
  <c r="D74" i="13"/>
  <c r="G57" i="18"/>
  <c r="C58" i="18" s="1"/>
  <c r="D57" i="18"/>
  <c r="I121" i="18"/>
  <c r="I151" i="18" s="1"/>
  <c r="I122" i="18"/>
  <c r="I152" i="18" s="1"/>
  <c r="J55" i="18"/>
  <c r="K55" i="18" s="1"/>
  <c r="F85" i="18"/>
  <c r="B86" i="18"/>
  <c r="D113" i="13" l="1"/>
  <c r="C112" i="13"/>
  <c r="C110" i="13"/>
  <c r="J56" i="18"/>
  <c r="K56" i="18" s="1"/>
  <c r="D58" i="18"/>
  <c r="E58" i="18" s="1"/>
  <c r="G58" i="18"/>
  <c r="C59" i="18" s="1"/>
  <c r="I123" i="18"/>
  <c r="D82" i="13"/>
  <c r="E94" i="27"/>
  <c r="E34" i="20"/>
  <c r="E36" i="20" s="1"/>
  <c r="E38" i="20" s="1"/>
  <c r="E39" i="20" s="1"/>
  <c r="E57" i="18"/>
  <c r="K36" i="13"/>
  <c r="C105" i="13"/>
  <c r="C104" i="13"/>
  <c r="C38" i="13"/>
  <c r="D89" i="13" s="1"/>
  <c r="C42" i="13"/>
  <c r="C43" i="13" s="1"/>
  <c r="F86" i="18"/>
  <c r="B87" i="18"/>
  <c r="D26" i="22" l="1"/>
  <c r="D31" i="22" s="1"/>
  <c r="C101" i="13"/>
  <c r="C100" i="13"/>
  <c r="C39" i="13"/>
  <c r="C111" i="13" s="1"/>
  <c r="J57" i="18"/>
  <c r="K57" i="18" s="1"/>
  <c r="E90" i="13"/>
  <c r="D59" i="18"/>
  <c r="G59" i="18"/>
  <c r="C60" i="18" s="1"/>
  <c r="D85" i="13"/>
  <c r="J123" i="18"/>
  <c r="K123" i="18" s="1"/>
  <c r="I153" i="18"/>
  <c r="F87" i="18"/>
  <c r="B88" i="18"/>
  <c r="D35" i="22" l="1"/>
  <c r="D38" i="22"/>
  <c r="D40" i="22" s="1"/>
  <c r="D92" i="13"/>
  <c r="D93" i="13" s="1"/>
  <c r="C106" i="13" s="1"/>
  <c r="C109" i="13"/>
  <c r="D41" i="13"/>
  <c r="L41" i="13" s="1"/>
  <c r="J58" i="18"/>
  <c r="K58" i="18" s="1"/>
  <c r="D60" i="18"/>
  <c r="E60" i="18" s="1"/>
  <c r="G60" i="18"/>
  <c r="C61" i="18" s="1"/>
  <c r="L123" i="18"/>
  <c r="M123" i="18" s="1"/>
  <c r="N123" i="18" s="1"/>
  <c r="E59" i="18"/>
  <c r="B89" i="18"/>
  <c r="F88" i="18"/>
  <c r="E91" i="13" l="1"/>
  <c r="D95" i="13"/>
  <c r="D96" i="13" s="1"/>
  <c r="G61" i="18"/>
  <c r="C62" i="18" s="1"/>
  <c r="D61" i="18"/>
  <c r="E61" i="18" s="1"/>
  <c r="J59" i="18"/>
  <c r="K59" i="18" s="1"/>
  <c r="B90" i="18"/>
  <c r="F89" i="18"/>
  <c r="G92" i="27" s="1"/>
  <c r="J60" i="18" l="1"/>
  <c r="K60" i="18" s="1"/>
  <c r="D62" i="18"/>
  <c r="E62" i="18" s="1"/>
  <c r="G62" i="18"/>
  <c r="C63" i="18" s="1"/>
  <c r="B91" i="18"/>
  <c r="F90" i="18"/>
  <c r="J61" i="18" l="1"/>
  <c r="K61" i="18" s="1"/>
  <c r="G63" i="18"/>
  <c r="C64" i="18" s="1"/>
  <c r="D63" i="18"/>
  <c r="E63" i="18" s="1"/>
  <c r="B92" i="18"/>
  <c r="F91" i="18"/>
  <c r="J62" i="18" l="1"/>
  <c r="K62" i="18" s="1"/>
  <c r="G64" i="18"/>
  <c r="C65" i="18" s="1"/>
  <c r="D64" i="18"/>
  <c r="E64" i="18" s="1"/>
  <c r="B93" i="18"/>
  <c r="F92" i="18"/>
  <c r="J63" i="18" l="1"/>
  <c r="K63" i="18" s="1"/>
  <c r="G65" i="18"/>
  <c r="D65" i="18"/>
  <c r="F93" i="18"/>
  <c r="B94" i="18"/>
  <c r="J64" i="18" l="1"/>
  <c r="K64" i="18" s="1"/>
  <c r="E65" i="18"/>
  <c r="D30" i="13"/>
  <c r="E84" i="13"/>
  <c r="C66" i="18"/>
  <c r="F94" i="18"/>
  <c r="B95" i="18"/>
  <c r="D66" i="18" l="1"/>
  <c r="G66" i="18"/>
  <c r="C67" i="18" s="1"/>
  <c r="L30" i="13"/>
  <c r="D29" i="13"/>
  <c r="J65" i="18"/>
  <c r="K65" i="18" s="1"/>
  <c r="E33" i="22"/>
  <c r="B96" i="18"/>
  <c r="F95" i="18"/>
  <c r="D34" i="13" l="1"/>
  <c r="E93" i="27"/>
  <c r="E104" i="27" s="1"/>
  <c r="L29" i="13"/>
  <c r="G67" i="18"/>
  <c r="C68" i="18" s="1"/>
  <c r="D67" i="18"/>
  <c r="E67" i="18" s="1"/>
  <c r="E66" i="18"/>
  <c r="B97" i="18"/>
  <c r="F96" i="18"/>
  <c r="C126" i="18" l="1"/>
  <c r="F84" i="27"/>
  <c r="E56" i="13"/>
  <c r="E61" i="13" s="1"/>
  <c r="J66" i="18"/>
  <c r="J67" i="18" s="1"/>
  <c r="K67" i="18" s="1"/>
  <c r="G68" i="18"/>
  <c r="C69" i="18" s="1"/>
  <c r="D68" i="18"/>
  <c r="L34" i="13"/>
  <c r="D35" i="13"/>
  <c r="D36" i="13" s="1"/>
  <c r="D110" i="13" s="1"/>
  <c r="B98" i="18"/>
  <c r="F97" i="18"/>
  <c r="K66" i="18" l="1"/>
  <c r="E74" i="13"/>
  <c r="D38" i="13"/>
  <c r="E89" i="13" s="1"/>
  <c r="D42" i="13"/>
  <c r="D43" i="13" s="1"/>
  <c r="D104" i="13"/>
  <c r="L36" i="13"/>
  <c r="L35" i="13"/>
  <c r="E79" i="13"/>
  <c r="J127" i="18"/>
  <c r="J152" i="18" s="1"/>
  <c r="J126" i="18"/>
  <c r="J151" i="18" s="1"/>
  <c r="E68" i="18"/>
  <c r="G69" i="18"/>
  <c r="C70" i="18" s="1"/>
  <c r="D69" i="18"/>
  <c r="E69" i="18" s="1"/>
  <c r="F98" i="18"/>
  <c r="B99" i="18"/>
  <c r="E113" i="13" l="1"/>
  <c r="D112" i="13"/>
  <c r="D105" i="13"/>
  <c r="D39" i="13"/>
  <c r="D111" i="13" s="1"/>
  <c r="J68" i="18"/>
  <c r="K68" i="18" s="1"/>
  <c r="J128" i="18"/>
  <c r="F90" i="13"/>
  <c r="F34" i="20"/>
  <c r="F36" i="20" s="1"/>
  <c r="F38" i="20" s="1"/>
  <c r="F39" i="20" s="1"/>
  <c r="E26" i="22" s="1"/>
  <c r="E31" i="22" s="1"/>
  <c r="F94" i="27"/>
  <c r="E82" i="13"/>
  <c r="G70" i="18"/>
  <c r="C71" i="18" s="1"/>
  <c r="D70" i="18"/>
  <c r="F99" i="18"/>
  <c r="B100" i="18"/>
  <c r="E92" i="13" l="1"/>
  <c r="F91" i="13" s="1"/>
  <c r="D109" i="13"/>
  <c r="E41" i="13"/>
  <c r="M41" i="13" s="1"/>
  <c r="J69" i="18"/>
  <c r="K69" i="18" s="1"/>
  <c r="E70" i="18"/>
  <c r="E85" i="13"/>
  <c r="D100" i="13"/>
  <c r="D101" i="13"/>
  <c r="D71" i="18"/>
  <c r="E71" i="18" s="1"/>
  <c r="G71" i="18"/>
  <c r="C72" i="18" s="1"/>
  <c r="J153" i="18"/>
  <c r="K128" i="18"/>
  <c r="E38" i="22"/>
  <c r="E40" i="22" s="1"/>
  <c r="E35" i="22"/>
  <c r="B101" i="18"/>
  <c r="F100" i="18"/>
  <c r="E93" i="13" l="1"/>
  <c r="D106" i="13" s="1"/>
  <c r="D72" i="18"/>
  <c r="E72" i="18" s="1"/>
  <c r="G72" i="18"/>
  <c r="C73" i="18" s="1"/>
  <c r="J70" i="18"/>
  <c r="K70" i="18" s="1"/>
  <c r="L128" i="18"/>
  <c r="F101" i="18"/>
  <c r="H92" i="27" s="1"/>
  <c r="B102" i="18"/>
  <c r="E95" i="13" l="1"/>
  <c r="E96" i="13" s="1"/>
  <c r="J71" i="18"/>
  <c r="K71" i="18" s="1"/>
  <c r="G73" i="18"/>
  <c r="C74" i="18" s="1"/>
  <c r="D73" i="18"/>
  <c r="M128" i="18"/>
  <c r="N128" i="18" s="1"/>
  <c r="B103" i="18"/>
  <c r="F102" i="18"/>
  <c r="J72" i="18" l="1"/>
  <c r="K72" i="18" s="1"/>
  <c r="E73" i="18"/>
  <c r="D74" i="18"/>
  <c r="E74" i="18" s="1"/>
  <c r="G74" i="18"/>
  <c r="C75" i="18" s="1"/>
  <c r="F103" i="18"/>
  <c r="B104" i="18"/>
  <c r="D75" i="18" l="1"/>
  <c r="E75" i="18" s="1"/>
  <c r="G75" i="18"/>
  <c r="C76" i="18" s="1"/>
  <c r="J73" i="18"/>
  <c r="J74" i="18" s="1"/>
  <c r="K74" i="18" s="1"/>
  <c r="F104" i="18"/>
  <c r="B105" i="18"/>
  <c r="K73" i="18" l="1"/>
  <c r="D76" i="18"/>
  <c r="E76" i="18" s="1"/>
  <c r="G76" i="18"/>
  <c r="C77" i="18" s="1"/>
  <c r="J75" i="18"/>
  <c r="K75" i="18" s="1"/>
  <c r="F105" i="18"/>
  <c r="B106" i="18"/>
  <c r="G77" i="18" l="1"/>
  <c r="D77" i="18"/>
  <c r="J76" i="18"/>
  <c r="K76" i="18" s="1"/>
  <c r="B107" i="18"/>
  <c r="F106" i="18"/>
  <c r="E77" i="18" l="1"/>
  <c r="E30" i="13"/>
  <c r="F84" i="13"/>
  <c r="C78" i="18"/>
  <c r="B108" i="18"/>
  <c r="F107" i="18"/>
  <c r="G78" i="18" l="1"/>
  <c r="C79" i="18" s="1"/>
  <c r="D78" i="18"/>
  <c r="M30" i="13"/>
  <c r="E29" i="13"/>
  <c r="J77" i="18"/>
  <c r="K77" i="18" s="1"/>
  <c r="F33" i="22"/>
  <c r="B109" i="18"/>
  <c r="F108" i="18"/>
  <c r="M29" i="13" l="1"/>
  <c r="F93" i="27"/>
  <c r="F104" i="27" s="1"/>
  <c r="E34" i="13"/>
  <c r="E78" i="18"/>
  <c r="J78" i="18" s="1"/>
  <c r="K78" i="18" s="1"/>
  <c r="G79" i="18"/>
  <c r="C80" i="18" s="1"/>
  <c r="D79" i="18"/>
  <c r="E79" i="18" s="1"/>
  <c r="F109" i="18"/>
  <c r="B110" i="18"/>
  <c r="D80" i="18" l="1"/>
  <c r="E80" i="18" s="1"/>
  <c r="G80" i="18"/>
  <c r="C81" i="18" s="1"/>
  <c r="C131" i="18"/>
  <c r="F56" i="13"/>
  <c r="F61" i="13" s="1"/>
  <c r="G84" i="27"/>
  <c r="J79" i="18"/>
  <c r="K79" i="18" s="1"/>
  <c r="E35" i="13"/>
  <c r="E36" i="13" s="1"/>
  <c r="E110" i="13" s="1"/>
  <c r="M34" i="13"/>
  <c r="B111" i="18"/>
  <c r="F110" i="18"/>
  <c r="F74" i="13" l="1"/>
  <c r="G81" i="18"/>
  <c r="C82" i="18" s="1"/>
  <c r="D81" i="18"/>
  <c r="K131" i="18"/>
  <c r="K151" i="18" s="1"/>
  <c r="K132" i="18"/>
  <c r="K152" i="18" s="1"/>
  <c r="E104" i="13"/>
  <c r="E38" i="13"/>
  <c r="F89" i="13" s="1"/>
  <c r="E42" i="13"/>
  <c r="E43" i="13" s="1"/>
  <c r="M36" i="13"/>
  <c r="M35" i="13"/>
  <c r="F79" i="13"/>
  <c r="J80" i="18"/>
  <c r="K80" i="18" s="1"/>
  <c r="F111" i="18"/>
  <c r="B112" i="18"/>
  <c r="F113" i="13" l="1"/>
  <c r="E112" i="13"/>
  <c r="E105" i="13"/>
  <c r="E39" i="13"/>
  <c r="E111" i="13" s="1"/>
  <c r="E81" i="18"/>
  <c r="G90" i="13"/>
  <c r="F82" i="13"/>
  <c r="G94" i="27"/>
  <c r="G34" i="20"/>
  <c r="G36" i="20" s="1"/>
  <c r="G38" i="20" s="1"/>
  <c r="G39" i="20" s="1"/>
  <c r="F26" i="22" s="1"/>
  <c r="F31" i="22" s="1"/>
  <c r="K133" i="18"/>
  <c r="D82" i="18"/>
  <c r="E82" i="18" s="1"/>
  <c r="G82" i="18"/>
  <c r="C83" i="18" s="1"/>
  <c r="B113" i="18"/>
  <c r="F112" i="18"/>
  <c r="F41" i="13" l="1"/>
  <c r="N41" i="13" s="1"/>
  <c r="E109" i="13"/>
  <c r="F92" i="13"/>
  <c r="G91" i="13" s="1"/>
  <c r="G83" i="18"/>
  <c r="C84" i="18" s="1"/>
  <c r="D83" i="18"/>
  <c r="E83" i="18" s="1"/>
  <c r="L133" i="18"/>
  <c r="K153" i="18"/>
  <c r="F38" i="22"/>
  <c r="F40" i="22" s="1"/>
  <c r="F35" i="22"/>
  <c r="F85" i="13"/>
  <c r="E101" i="13"/>
  <c r="E100" i="13"/>
  <c r="J81" i="18"/>
  <c r="J82" i="18" s="1"/>
  <c r="K82" i="18" s="1"/>
  <c r="F113" i="18"/>
  <c r="I92" i="27" s="1"/>
  <c r="F93" i="13" l="1"/>
  <c r="E106" i="13" s="1"/>
  <c r="K81" i="18"/>
  <c r="J83" i="18"/>
  <c r="K83" i="18" s="1"/>
  <c r="M133" i="18"/>
  <c r="N133" i="18" s="1"/>
  <c r="D84" i="18"/>
  <c r="G84" i="18"/>
  <c r="C85" i="18" s="1"/>
  <c r="F95" i="13" l="1"/>
  <c r="F96" i="13" s="1"/>
  <c r="D85" i="18"/>
  <c r="E85" i="18" s="1"/>
  <c r="G85" i="18"/>
  <c r="C86" i="18" s="1"/>
  <c r="E84" i="18"/>
  <c r="J84" i="18" l="1"/>
  <c r="K84" i="18" s="1"/>
  <c r="D86" i="18"/>
  <c r="E86" i="18" s="1"/>
  <c r="G86" i="18"/>
  <c r="C87" i="18" s="1"/>
  <c r="J85" i="18" l="1"/>
  <c r="K85" i="18" s="1"/>
  <c r="D87" i="18"/>
  <c r="E87" i="18" s="1"/>
  <c r="G87" i="18"/>
  <c r="C88" i="18" s="1"/>
  <c r="J86" i="18" l="1"/>
  <c r="K86" i="18" s="1"/>
  <c r="G88" i="18"/>
  <c r="C89" i="18" s="1"/>
  <c r="D88" i="18"/>
  <c r="E88" i="18" s="1"/>
  <c r="J87" i="18" l="1"/>
  <c r="K87" i="18" s="1"/>
  <c r="D89" i="18"/>
  <c r="G89" i="18"/>
  <c r="J88" i="18" l="1"/>
  <c r="K88" i="18" s="1"/>
  <c r="E89" i="18"/>
  <c r="F30" i="13"/>
  <c r="G84" i="13"/>
  <c r="C90" i="18"/>
  <c r="D90" i="18" l="1"/>
  <c r="G90" i="18"/>
  <c r="C91" i="18" s="1"/>
  <c r="N30" i="13"/>
  <c r="F29" i="13"/>
  <c r="G33" i="22"/>
  <c r="J89" i="18"/>
  <c r="K89" i="18" s="1"/>
  <c r="D91" i="18" l="1"/>
  <c r="E91" i="18" s="1"/>
  <c r="G91" i="18"/>
  <c r="C92" i="18" s="1"/>
  <c r="N29" i="13"/>
  <c r="G93" i="27"/>
  <c r="G104" i="27" s="1"/>
  <c r="F34" i="13"/>
  <c r="E90" i="18"/>
  <c r="J90" i="18" l="1"/>
  <c r="K90" i="18" s="1"/>
  <c r="N34" i="13"/>
  <c r="F35" i="13"/>
  <c r="D92" i="18"/>
  <c r="G92" i="18"/>
  <c r="C93" i="18" s="1"/>
  <c r="G56" i="13"/>
  <c r="G61" i="13" s="1"/>
  <c r="H84" i="27"/>
  <c r="C136" i="18"/>
  <c r="J91" i="18" l="1"/>
  <c r="K91" i="18" s="1"/>
  <c r="G74" i="13"/>
  <c r="D93" i="18"/>
  <c r="E93" i="18" s="1"/>
  <c r="G93" i="18"/>
  <c r="C94" i="18" s="1"/>
  <c r="F36" i="13"/>
  <c r="F110" i="13" s="1"/>
  <c r="G79" i="13"/>
  <c r="N35" i="13"/>
  <c r="E92" i="18"/>
  <c r="L136" i="18"/>
  <c r="L151" i="18" s="1"/>
  <c r="L137" i="18"/>
  <c r="L152" i="18" s="1"/>
  <c r="G113" i="13" l="1"/>
  <c r="F112" i="13"/>
  <c r="L138" i="18"/>
  <c r="M138" i="18" s="1"/>
  <c r="N138" i="18" s="1"/>
  <c r="H34" i="20"/>
  <c r="H36" i="20" s="1"/>
  <c r="H38" i="20" s="1"/>
  <c r="H39" i="20" s="1"/>
  <c r="G26" i="22" s="1"/>
  <c r="G31" i="22" s="1"/>
  <c r="H94" i="27"/>
  <c r="G82" i="13"/>
  <c r="D94" i="18"/>
  <c r="E94" i="18" s="1"/>
  <c r="G94" i="18"/>
  <c r="C95" i="18" s="1"/>
  <c r="F42" i="13"/>
  <c r="F43" i="13" s="1"/>
  <c r="F38" i="13"/>
  <c r="G89" i="13" s="1"/>
  <c r="N36" i="13"/>
  <c r="F104" i="13"/>
  <c r="J92" i="18"/>
  <c r="K92" i="18" s="1"/>
  <c r="F105" i="13"/>
  <c r="L153" i="18" l="1"/>
  <c r="F39" i="13"/>
  <c r="F111" i="13" s="1"/>
  <c r="J93" i="18"/>
  <c r="K93" i="18" s="1"/>
  <c r="D95" i="18"/>
  <c r="G95" i="18"/>
  <c r="C96" i="18" s="1"/>
  <c r="H90" i="13"/>
  <c r="G85" i="13"/>
  <c r="F100" i="13"/>
  <c r="F101" i="13"/>
  <c r="G35" i="22"/>
  <c r="G38" i="22"/>
  <c r="G40" i="22" s="1"/>
  <c r="G41" i="13" l="1"/>
  <c r="O41" i="13" s="1"/>
  <c r="F109" i="13"/>
  <c r="G92" i="13"/>
  <c r="E95" i="18"/>
  <c r="D96" i="18"/>
  <c r="E96" i="18" s="1"/>
  <c r="G96" i="18"/>
  <c r="C97" i="18" s="1"/>
  <c r="J94" i="18"/>
  <c r="K94" i="18" s="1"/>
  <c r="H91" i="13" l="1"/>
  <c r="G93" i="13"/>
  <c r="G97" i="18"/>
  <c r="C98" i="18" s="1"/>
  <c r="D97" i="18"/>
  <c r="J95" i="18"/>
  <c r="J96" i="18" s="1"/>
  <c r="K96" i="18" s="1"/>
  <c r="F106" i="13" l="1"/>
  <c r="G95" i="13"/>
  <c r="G96" i="13" s="1"/>
  <c r="K95" i="18"/>
  <c r="E97" i="18"/>
  <c r="D98" i="18"/>
  <c r="E98" i="18" s="1"/>
  <c r="G98" i="18"/>
  <c r="C99" i="18" s="1"/>
  <c r="G99" i="18" l="1"/>
  <c r="C100" i="18" s="1"/>
  <c r="D99" i="18"/>
  <c r="E99" i="18" s="1"/>
  <c r="J97" i="18"/>
  <c r="J98" i="18" s="1"/>
  <c r="K98" i="18" s="1"/>
  <c r="J99" i="18" l="1"/>
  <c r="K99" i="18" s="1"/>
  <c r="K97" i="18"/>
  <c r="D100" i="18"/>
  <c r="E100" i="18" s="1"/>
  <c r="G100" i="18"/>
  <c r="C101" i="18" s="1"/>
  <c r="J100" i="18" l="1"/>
  <c r="K100" i="18" s="1"/>
  <c r="D101" i="18"/>
  <c r="G101" i="18"/>
  <c r="H84" i="13" l="1"/>
  <c r="C102" i="18"/>
  <c r="E101" i="18"/>
  <c r="G30" i="13"/>
  <c r="J101" i="18" l="1"/>
  <c r="K101" i="18" s="1"/>
  <c r="H33" i="22"/>
  <c r="G29" i="13"/>
  <c r="O30" i="13"/>
  <c r="D102" i="18"/>
  <c r="E102" i="18" s="1"/>
  <c r="G102" i="18"/>
  <c r="C103" i="18" s="1"/>
  <c r="J102" i="18" l="1"/>
  <c r="K102" i="18" s="1"/>
  <c r="H93" i="27"/>
  <c r="H104" i="27" s="1"/>
  <c r="G34" i="13"/>
  <c r="O29" i="13"/>
  <c r="D103" i="18"/>
  <c r="E103" i="18" s="1"/>
  <c r="G103" i="18"/>
  <c r="C104" i="18" s="1"/>
  <c r="G104" i="18" l="1"/>
  <c r="C105" i="18" s="1"/>
  <c r="D104" i="18"/>
  <c r="E104" i="18" s="1"/>
  <c r="I84" i="27"/>
  <c r="C141" i="18"/>
  <c r="H56" i="13"/>
  <c r="H61" i="13" s="1"/>
  <c r="C146" i="18"/>
  <c r="J103" i="18"/>
  <c r="K103" i="18" s="1"/>
  <c r="G35" i="13"/>
  <c r="G36" i="13" s="1"/>
  <c r="G110" i="13" s="1"/>
  <c r="O34" i="13"/>
  <c r="G104" i="13" l="1"/>
  <c r="O36" i="13"/>
  <c r="G42" i="13"/>
  <c r="G43" i="13" s="1"/>
  <c r="G38" i="13"/>
  <c r="H89" i="13" s="1"/>
  <c r="J104" i="18"/>
  <c r="K104" i="18" s="1"/>
  <c r="H74" i="13"/>
  <c r="G112" i="13" s="1"/>
  <c r="N142" i="18"/>
  <c r="M142" i="18"/>
  <c r="M152" i="18" s="1"/>
  <c r="M141" i="18"/>
  <c r="M151" i="18" s="1"/>
  <c r="N141" i="18"/>
  <c r="N143" i="18" s="1"/>
  <c r="N153" i="18" s="1"/>
  <c r="N146" i="18"/>
  <c r="N148" i="18" s="1"/>
  <c r="N147" i="18"/>
  <c r="H79" i="13"/>
  <c r="O35" i="13"/>
  <c r="G105" i="18"/>
  <c r="C106" i="18" s="1"/>
  <c r="D105" i="18"/>
  <c r="E105" i="18" s="1"/>
  <c r="G105" i="13" l="1"/>
  <c r="H109" i="13"/>
  <c r="G39" i="13"/>
  <c r="G111" i="13" s="1"/>
  <c r="N152" i="18"/>
  <c r="J105" i="18"/>
  <c r="K105" i="18" s="1"/>
  <c r="D106" i="18"/>
  <c r="E106" i="18" s="1"/>
  <c r="G106" i="18"/>
  <c r="C107" i="18" s="1"/>
  <c r="I94" i="27"/>
  <c r="I104" i="27" s="1"/>
  <c r="I56" i="13" s="1"/>
  <c r="I61" i="13" s="1"/>
  <c r="I34" i="20"/>
  <c r="I36" i="20" s="1"/>
  <c r="I38" i="20" s="1"/>
  <c r="H82" i="13"/>
  <c r="I90" i="13"/>
  <c r="M143" i="18"/>
  <c r="M153" i="18" s="1"/>
  <c r="N151" i="18"/>
  <c r="H41" i="13" l="1"/>
  <c r="P41" i="13" s="1"/>
  <c r="G109" i="13"/>
  <c r="H92" i="13"/>
  <c r="I91" i="13" s="1"/>
  <c r="I93" i="13" s="1"/>
  <c r="H106" i="13" s="1"/>
  <c r="J106" i="18"/>
  <c r="K106" i="18" s="1"/>
  <c r="H85" i="13"/>
  <c r="G101" i="13"/>
  <c r="G100" i="13"/>
  <c r="I74" i="13"/>
  <c r="H112" i="13" s="1"/>
  <c r="H101" i="13"/>
  <c r="H100" i="13"/>
  <c r="D107" i="18"/>
  <c r="E107" i="18" s="1"/>
  <c r="G107" i="18"/>
  <c r="C108" i="18" s="1"/>
  <c r="I39" i="20"/>
  <c r="H26" i="22" s="1"/>
  <c r="H31" i="22" s="1"/>
  <c r="J39" i="20"/>
  <c r="I26" i="22" s="1"/>
  <c r="I31" i="22" s="1"/>
  <c r="H42" i="13" l="1"/>
  <c r="H43" i="13" s="1"/>
  <c r="C114" i="13"/>
  <c r="C46" i="22"/>
  <c r="H93" i="13"/>
  <c r="H35" i="22"/>
  <c r="H38" i="22"/>
  <c r="H40" i="22" s="1"/>
  <c r="C44" i="22"/>
  <c r="C47" i="22"/>
  <c r="H105" i="13"/>
  <c r="J31" i="22"/>
  <c r="I38" i="22"/>
  <c r="D108" i="18"/>
  <c r="E108" i="18" s="1"/>
  <c r="G108" i="18"/>
  <c r="C109" i="18" s="1"/>
  <c r="J107" i="18"/>
  <c r="K107" i="18" s="1"/>
  <c r="G106" i="13" l="1"/>
  <c r="H110" i="13"/>
  <c r="H95" i="13"/>
  <c r="H96" i="13" s="1"/>
  <c r="G109" i="18"/>
  <c r="C110" i="18" s="1"/>
  <c r="D109" i="18"/>
  <c r="E109" i="18" s="1"/>
  <c r="J108" i="18"/>
  <c r="K108" i="18" s="1"/>
  <c r="I40" i="22"/>
  <c r="C48" i="22"/>
  <c r="C49" i="22" s="1"/>
  <c r="C52" i="22" s="1"/>
  <c r="C45" i="22" s="1"/>
  <c r="J38" i="22"/>
  <c r="C54" i="22" l="1"/>
  <c r="J40" i="22"/>
  <c r="J109" i="18"/>
  <c r="K109" i="18" s="1"/>
  <c r="C50" i="22"/>
  <c r="G110" i="18"/>
  <c r="C111" i="18" s="1"/>
  <c r="D110" i="18"/>
  <c r="E110" i="18" s="1"/>
  <c r="D111" i="18" l="1"/>
  <c r="E111" i="18" s="1"/>
  <c r="G111" i="18"/>
  <c r="C112" i="18" s="1"/>
  <c r="J110" i="18"/>
  <c r="K110" i="18" s="1"/>
  <c r="D112" i="18" l="1"/>
  <c r="E112" i="18" s="1"/>
  <c r="G112" i="18"/>
  <c r="C113" i="18" s="1"/>
  <c r="J111" i="18"/>
  <c r="K111" i="18" s="1"/>
  <c r="G113" i="18" l="1"/>
  <c r="I84" i="13" s="1"/>
  <c r="I85" i="13" s="1"/>
  <c r="I95" i="13" s="1"/>
  <c r="I96" i="13" s="1"/>
  <c r="D113" i="18"/>
  <c r="E113" i="18" s="1"/>
  <c r="J112" i="18"/>
  <c r="K112" i="18" s="1"/>
  <c r="J113" i="18" l="1"/>
  <c r="K113" i="18" s="1"/>
  <c r="I33" i="22"/>
  <c r="I35" i="22" s="1"/>
  <c r="J35" i="22" l="1"/>
  <c r="C66" i="22" s="1"/>
  <c r="C67" i="22" s="1"/>
  <c r="C64" i="22"/>
  <c r="C65" i="22"/>
  <c r="C62" i="22"/>
  <c r="C72" i="22" l="1"/>
  <c r="C70" i="22"/>
  <c r="C68" i="22" s="1"/>
  <c r="C63"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Felipe Mendoza</author>
  </authors>
  <commentList>
    <comment ref="C54" authorId="0" shapeId="0" xr:uid="{00000000-0006-0000-0100-000001000000}">
      <text>
        <r>
          <rPr>
            <sz val="8"/>
            <color indexed="81"/>
            <rFont val="Tahoma"/>
            <family val="2"/>
          </rPr>
          <t>El emprendedor, en esta celda debe ingresar los recursos propios con los que cuenta para iniciar el proyecto.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Felipe Mendoza</author>
  </authors>
  <commentList>
    <comment ref="B25" authorId="0" shapeId="0" xr:uid="{00000000-0006-0000-0200-000001000000}">
      <text>
        <r>
          <rPr>
            <sz val="11"/>
            <color indexed="81"/>
            <rFont val="Tahoma"/>
            <family val="2"/>
          </rPr>
          <t>El emprendedor conoce las condiciones y especificaciones de la inversión a realizar, por tal motivo, si este dato no es la vida util del activo, el emprendedor puede cambiar los años de vida.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Felipe Mendoza</author>
  </authors>
  <commentList>
    <comment ref="E409" authorId="0" shapeId="0" xr:uid="{00000000-0006-0000-0400-000001000000}">
      <text>
        <r>
          <rPr>
            <sz val="11"/>
            <color indexed="81"/>
            <rFont val="Tahoma"/>
            <family val="2"/>
          </rPr>
          <t>En esta celda el emprendedor puede ingresar datos que evidencien un crecimiento o decrecimineto de las materias primas utilizadas para la producción del bien.</t>
        </r>
      </text>
    </comment>
    <comment ref="E413" authorId="0" shapeId="0" xr:uid="{00000000-0006-0000-0400-000002000000}">
      <text>
        <r>
          <rPr>
            <sz val="11"/>
            <color indexed="81"/>
            <rFont val="Tahoma"/>
            <family val="2"/>
          </rPr>
          <t>En esta celda el emprendedor puede ingresar datos que evidencien un crecimiento o decrecimineto de las mano de obra utilizadas para la producción del bien o servicio.</t>
        </r>
      </text>
    </comment>
    <comment ref="E417" authorId="0" shapeId="0" xr:uid="{00000000-0006-0000-0400-000003000000}">
      <text>
        <r>
          <rPr>
            <sz val="11"/>
            <color indexed="81"/>
            <rFont val="Tahoma"/>
            <family val="2"/>
          </rPr>
          <t>En esta celda el emprendedor puede ingresar datos que evidencien un crecimiento o decrecimineto de los costos indirectos de fabricación utilizados para la producción del bien o servicio.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IEBTA</author>
    <author>Felipe Mendoza</author>
  </authors>
  <commentList>
    <comment ref="C57" authorId="0" shapeId="0" xr:uid="{00000000-0006-0000-0500-000001000000}">
      <text>
        <r>
          <rPr>
            <b/>
            <sz val="8"/>
            <color indexed="81"/>
            <rFont val="Tahoma"/>
            <family val="2"/>
          </rPr>
          <t>IEBTA:</t>
        </r>
        <r>
          <rPr>
            <sz val="8"/>
            <color indexed="81"/>
            <rFont val="Tahoma"/>
            <family val="2"/>
          </rPr>
          <t xml:space="preserve">
Se tiene en cuenta para liquidar prima y cesantías. Se calcula para los salarios hasta 2 SMLM.</t>
        </r>
      </text>
    </comment>
    <comment ref="C76" authorId="0" shapeId="0" xr:uid="{00000000-0006-0000-0500-000002000000}">
      <text>
        <r>
          <rPr>
            <b/>
            <sz val="8"/>
            <color indexed="81"/>
            <rFont val="Tahoma"/>
            <family val="2"/>
          </rPr>
          <t>IEBTA:</t>
        </r>
        <r>
          <rPr>
            <sz val="8"/>
            <color indexed="81"/>
            <rFont val="Tahoma"/>
            <family val="2"/>
          </rPr>
          <t xml:space="preserve">
Se tiene en cuenta para liquidar prima y cesantías. Se calcula para los salarios hasta 2 SMLM.</t>
        </r>
      </text>
    </comment>
    <comment ref="D88" authorId="1" shapeId="0" xr:uid="{00000000-0006-0000-0500-000003000000}">
      <text>
        <r>
          <rPr>
            <sz val="12"/>
            <color indexed="81"/>
            <rFont val="Tahoma"/>
            <family val="2"/>
          </rPr>
          <t>Celda importante porque el emprendedor debe conservar las personas que traia en este mismo cargo o aumentarlas de acuerdo a la capacidad de aprovechamiento.</t>
        </r>
      </text>
    </comment>
    <comment ref="G88" authorId="1" shapeId="0" xr:uid="{00000000-0006-0000-0500-000004000000}">
      <text>
        <r>
          <rPr>
            <sz val="12"/>
            <color indexed="81"/>
            <rFont val="Tahoma"/>
            <family val="2"/>
          </rPr>
          <t>Celda importante porque el emprendedor debe conservar las personas que traia en este mismo cargo o aumentarlas de acuerdo a la capacidad de aprovechamiento.</t>
        </r>
      </text>
    </comment>
    <comment ref="C97" authorId="0" shapeId="0" xr:uid="{00000000-0006-0000-0500-000005000000}">
      <text>
        <r>
          <rPr>
            <b/>
            <sz val="8"/>
            <color indexed="81"/>
            <rFont val="Tahoma"/>
            <family val="2"/>
          </rPr>
          <t>IEBTA:</t>
        </r>
        <r>
          <rPr>
            <sz val="8"/>
            <color indexed="81"/>
            <rFont val="Tahoma"/>
            <family val="2"/>
          </rPr>
          <t xml:space="preserve">
Se tiene en cuenta para liquidar prima y cesantías. Se calcula para los salarios hasta 2 SMLM.</t>
        </r>
      </text>
    </comment>
    <comment ref="C112" authorId="0" shapeId="0" xr:uid="{00000000-0006-0000-0500-000006000000}">
      <text>
        <r>
          <rPr>
            <b/>
            <sz val="8"/>
            <color indexed="81"/>
            <rFont val="Tahoma"/>
            <family val="2"/>
          </rPr>
          <t>IEBTA:</t>
        </r>
        <r>
          <rPr>
            <sz val="8"/>
            <color indexed="81"/>
            <rFont val="Tahoma"/>
            <family val="2"/>
          </rPr>
          <t xml:space="preserve">
Se tiene en cuenta para liquidar prima y cesantías. Se calcula para los salarios hasta 2 SMLM.</t>
        </r>
      </text>
    </comment>
    <comment ref="C130" authorId="0" shapeId="0" xr:uid="{00000000-0006-0000-0500-000007000000}">
      <text>
        <r>
          <rPr>
            <b/>
            <sz val="8"/>
            <color indexed="81"/>
            <rFont val="Tahoma"/>
            <family val="2"/>
          </rPr>
          <t>IEBTA:</t>
        </r>
        <r>
          <rPr>
            <sz val="8"/>
            <color indexed="81"/>
            <rFont val="Tahoma"/>
            <family val="2"/>
          </rPr>
          <t xml:space="preserve">
Se tiene en cuenta para liquidar prima y cesantías. Se calcula para los salarios hasta 2 SMLM.</t>
        </r>
      </text>
    </comment>
    <comment ref="C147" authorId="0" shapeId="0" xr:uid="{00000000-0006-0000-0500-000008000000}">
      <text>
        <r>
          <rPr>
            <b/>
            <sz val="8"/>
            <color indexed="81"/>
            <rFont val="Tahoma"/>
            <family val="2"/>
          </rPr>
          <t>IEBTA:</t>
        </r>
        <r>
          <rPr>
            <sz val="8"/>
            <color indexed="81"/>
            <rFont val="Tahoma"/>
            <family val="2"/>
          </rPr>
          <t xml:space="preserve">
Se tiene en cuenta para liquidar prima y cesantías. Se calcula para los salarios hasta 2 SMLM.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Felipe Mendoza</author>
  </authors>
  <commentList>
    <comment ref="D13" authorId="0" shapeId="0" xr:uid="{00000000-0006-0000-0600-000001000000}">
      <text>
        <r>
          <rPr>
            <sz val="11"/>
            <color indexed="81"/>
            <rFont val="Tahoma"/>
            <family val="2"/>
          </rPr>
          <t>El emprendedor debe ingresar el valor del rubro</t>
        </r>
      </text>
    </comment>
    <comment ref="D54" authorId="0" shapeId="0" xr:uid="{00000000-0006-0000-0600-000002000000}">
      <text>
        <r>
          <rPr>
            <b/>
            <sz val="8"/>
            <color indexed="81"/>
            <rFont val="Tahoma"/>
            <family val="2"/>
          </rPr>
          <t>Felipe Mendoza:</t>
        </r>
        <r>
          <rPr>
            <sz val="8"/>
            <color indexed="81"/>
            <rFont val="Tahoma"/>
            <family val="2"/>
          </rPr>
          <t xml:space="preserve">
</t>
        </r>
        <r>
          <rPr>
            <sz val="11"/>
            <color indexed="81"/>
            <rFont val="Tahoma"/>
            <family val="2"/>
          </rPr>
          <t>Estas celdas vienen de la hoja de nomina</t>
        </r>
      </text>
    </comment>
    <comment ref="E67" authorId="0" shapeId="0" xr:uid="{00000000-0006-0000-0600-000003000000}">
      <text>
        <r>
          <rPr>
            <sz val="11"/>
            <color indexed="81"/>
            <rFont val="Tahoma"/>
            <family val="2"/>
          </rPr>
          <t>Esta es una variable que es muy importante y que el emprendedor debe tener mucha claridad para ingresarla. Ejemplo: inicialmente el proyecto requiere un area de 200 mt cuadrados, pero con los planes de expansión, esa area locativa le queda pequeña por consiguiente debe conseguir una de 400 mts. en dinero puede que se traduzca en un 100% más de lo que se paga actualmente.</t>
        </r>
      </text>
    </comment>
    <comment ref="D135" authorId="0" shapeId="0" xr:uid="{00000000-0006-0000-0600-000004000000}">
      <text>
        <r>
          <rPr>
            <b/>
            <sz val="8"/>
            <color indexed="81"/>
            <rFont val="Tahoma"/>
            <family val="2"/>
          </rPr>
          <t>Felipe Mendoza:</t>
        </r>
        <r>
          <rPr>
            <sz val="8"/>
            <color indexed="81"/>
            <rFont val="Tahoma"/>
            <family val="2"/>
          </rPr>
          <t xml:space="preserve">
</t>
        </r>
        <r>
          <rPr>
            <sz val="11"/>
            <color indexed="81"/>
            <rFont val="Tahoma"/>
            <family val="2"/>
          </rPr>
          <t>Estas celdas vienen de la hoja de nomina</t>
        </r>
      </text>
    </comment>
    <comment ref="D136" authorId="0" shapeId="0" xr:uid="{00000000-0006-0000-0600-000005000000}">
      <text>
        <r>
          <rPr>
            <b/>
            <sz val="8"/>
            <color indexed="81"/>
            <rFont val="Tahoma"/>
            <family val="2"/>
          </rPr>
          <t>Felipe Mendoza:</t>
        </r>
        <r>
          <rPr>
            <sz val="8"/>
            <color indexed="81"/>
            <rFont val="Tahoma"/>
            <family val="2"/>
          </rPr>
          <t xml:space="preserve">
</t>
        </r>
        <r>
          <rPr>
            <sz val="11"/>
            <color indexed="81"/>
            <rFont val="Tahoma"/>
            <family val="2"/>
          </rPr>
          <t>Esta Celda se calcula con base en el supuesto que se establezca en la hoja de supuestos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Felipe Mendoza</author>
  </authors>
  <commentList>
    <comment ref="C13" authorId="0" shapeId="0" xr:uid="{00000000-0006-0000-0700-000001000000}">
      <text>
        <r>
          <rPr>
            <sz val="11"/>
            <color indexed="81"/>
            <rFont val="Tahoma"/>
            <family val="2"/>
          </rPr>
          <t>El emprendedor debe ingresar los meses que desea estar cubierto de costos de materia prima, mano de obra e indirectos de fabricación.</t>
        </r>
      </text>
    </comment>
    <comment ref="C15" authorId="0" shapeId="0" xr:uid="{00000000-0006-0000-0700-000002000000}">
      <text>
        <r>
          <rPr>
            <sz val="11"/>
            <color indexed="81"/>
            <rFont val="Tahoma"/>
            <family val="2"/>
          </rPr>
          <t>El emprendedor debe ingresar los meses que desea estar cubierto de gastos de administración</t>
        </r>
      </text>
    </comment>
    <comment ref="C16" authorId="0" shapeId="0" xr:uid="{00000000-0006-0000-0700-000003000000}">
      <text>
        <r>
          <rPr>
            <sz val="11"/>
            <color indexed="81"/>
            <rFont val="Tahoma"/>
            <family val="2"/>
          </rPr>
          <t>El emprendedor debe ingresar los meses que desea estar cubierto de gastos de administración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BivianaO</author>
    <author>Felipe Mendoza</author>
  </authors>
  <commentList>
    <comment ref="K12" authorId="0" shapeId="0" xr:uid="{00000000-0006-0000-0800-000001000000}">
      <text>
        <r>
          <rPr>
            <b/>
            <sz val="9"/>
            <color indexed="81"/>
            <rFont val="Tahoma"/>
            <family val="2"/>
          </rPr>
          <t>De acuerdo al monto y plazo del crédito marque en la casilla que aplica</t>
        </r>
      </text>
    </comment>
    <comment ref="F13" authorId="1" shapeId="0" xr:uid="{00000000-0006-0000-0800-000002000000}">
      <text>
        <r>
          <rPr>
            <sz val="11"/>
            <color indexed="81"/>
            <rFont val="Tahoma"/>
            <family val="2"/>
          </rPr>
          <t>El emprendedor debe ingresar en esta celda, la inversión que realice un inversionista interesado en la empresa, con el fin de que se disminuya el capital  financiar via credito.</t>
        </r>
      </text>
    </comment>
    <comment ref="F15" authorId="1" shapeId="0" xr:uid="{00000000-0006-0000-0800-000003000000}">
      <text>
        <r>
          <rPr>
            <sz val="11"/>
            <color indexed="81"/>
            <rFont val="Tahoma"/>
            <family val="2"/>
          </rPr>
          <t>De acuerdo a las politicas crediticia el emprendedor debe ingresar en esta celda el periodo de la obligación financiera</t>
        </r>
      </text>
    </comment>
    <comment ref="F16" authorId="1" shapeId="0" xr:uid="{00000000-0006-0000-0800-000004000000}">
      <text>
        <r>
          <rPr>
            <sz val="11"/>
            <color indexed="81"/>
            <rFont val="Tahoma"/>
            <family val="2"/>
          </rPr>
          <t>El emprendedor debe ingresar en esta celda el periodo de gracia</t>
        </r>
      </text>
    </comment>
    <comment ref="D30" authorId="1" shapeId="0" xr:uid="{00000000-0006-0000-0800-000005000000}">
      <text>
        <r>
          <rPr>
            <sz val="11"/>
            <color indexed="81"/>
            <rFont val="Tahoma"/>
            <family val="2"/>
          </rPr>
          <t>De acuerdo a las politicas establecidas en el credito se debe ingresar los puntos adicionales a la DTF</t>
        </r>
      </text>
    </comment>
    <comment ref="E30" authorId="1" shapeId="0" xr:uid="{00000000-0006-0000-0800-000006000000}">
      <text>
        <r>
          <rPr>
            <sz val="11"/>
            <color indexed="81"/>
            <rFont val="Tahoma"/>
            <family val="2"/>
          </rPr>
          <t>Se debe ingresar la DTF promedio para la estimación de la tasa de interes del prestamo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Felipe Mendoza</author>
  </authors>
  <commentList>
    <comment ref="C9" authorId="0" shapeId="0" xr:uid="{00000000-0006-0000-0900-000001000000}">
      <text>
        <r>
          <rPr>
            <sz val="12"/>
            <color indexed="81"/>
            <rFont val="Tahoma"/>
            <family val="2"/>
          </rPr>
          <t>El emprendedor debe ingresar la tasa de interes de oportunidad por comprometer los recursos en el proyecto.</t>
        </r>
      </text>
    </comment>
    <comment ref="H40" authorId="0" shapeId="0" xr:uid="{00000000-0006-0000-0900-000002000000}">
      <text>
        <r>
          <rPr>
            <sz val="12"/>
            <color indexed="81"/>
            <rFont val="Tahoma"/>
            <family val="2"/>
          </rPr>
          <t>En este periodo se recuperó la inversión</t>
        </r>
      </text>
    </comment>
  </commentList>
</comments>
</file>

<file path=xl/sharedStrings.xml><?xml version="1.0" encoding="utf-8"?>
<sst xmlns="http://schemas.openxmlformats.org/spreadsheetml/2006/main" count="3343" uniqueCount="529">
  <si>
    <t>TOTAL</t>
  </si>
  <si>
    <t>Total</t>
  </si>
  <si>
    <t>TOTALES</t>
  </si>
  <si>
    <t>Servicios Públicos</t>
  </si>
  <si>
    <t>Inicial</t>
  </si>
  <si>
    <t>Herramientas</t>
  </si>
  <si>
    <t>Equipos de red</t>
  </si>
  <si>
    <t>Comisiones</t>
  </si>
  <si>
    <t>Capital Social</t>
  </si>
  <si>
    <t>DTF</t>
  </si>
  <si>
    <t xml:space="preserve">Pagos a Capital </t>
  </si>
  <si>
    <t>Ventas</t>
  </si>
  <si>
    <t>Utilidad Bruta</t>
  </si>
  <si>
    <t>Utilidad antes de Intereses e Impuestos</t>
  </si>
  <si>
    <t>Utilidad antes de Impuestos</t>
  </si>
  <si>
    <t>Dividendos</t>
  </si>
  <si>
    <t>Impuestos</t>
  </si>
  <si>
    <t>Período</t>
  </si>
  <si>
    <t>ACTIVOS</t>
  </si>
  <si>
    <t>Total Activos Corrientes</t>
  </si>
  <si>
    <t>Capital Intelectual</t>
  </si>
  <si>
    <t>Activos no Corrientes Netos</t>
  </si>
  <si>
    <t>Total Activos</t>
  </si>
  <si>
    <t>PASIVOS</t>
  </si>
  <si>
    <t>Total Pasivos</t>
  </si>
  <si>
    <t>PATRIMONIO</t>
  </si>
  <si>
    <t>Reservas del periodo</t>
  </si>
  <si>
    <t>Total Patrimonio</t>
  </si>
  <si>
    <t>Total Pasivo + Patrimonio</t>
  </si>
  <si>
    <t>Flujo de Caja Libre</t>
  </si>
  <si>
    <t>Flujo de Caja Bruto</t>
  </si>
  <si>
    <t>Inversiones en Propiedad Planta y Equipo</t>
  </si>
  <si>
    <t>Variación de Capital de Trabajo</t>
  </si>
  <si>
    <t xml:space="preserve">T.I.R. </t>
  </si>
  <si>
    <t>T.I.R.M.</t>
  </si>
  <si>
    <t>Personas</t>
  </si>
  <si>
    <t>Salario mensual</t>
  </si>
  <si>
    <t>Valor año</t>
  </si>
  <si>
    <t>Administración</t>
  </si>
  <si>
    <t>Operacionales de venta</t>
  </si>
  <si>
    <t>Meses</t>
  </si>
  <si>
    <t>2 SMLV Mensuales</t>
  </si>
  <si>
    <t>Comisiones - sobre las ventas</t>
  </si>
  <si>
    <t>Tasa de interés (DTF) (promedio anual)</t>
  </si>
  <si>
    <t>Arriendo</t>
  </si>
  <si>
    <t>Col $</t>
  </si>
  <si>
    <t>Honorarios contador y Revisor Fiscal</t>
  </si>
  <si>
    <t>Publicidad y Promoción</t>
  </si>
  <si>
    <t>Mes</t>
  </si>
  <si>
    <t>Plazo (en años)</t>
  </si>
  <si>
    <t>Concepto</t>
  </si>
  <si>
    <t xml:space="preserve">Capital </t>
  </si>
  <si>
    <t>Saldo Final</t>
  </si>
  <si>
    <t>Periodo</t>
  </si>
  <si>
    <t>Contador</t>
  </si>
  <si>
    <t>Intereses</t>
  </si>
  <si>
    <t>Componente Precios</t>
  </si>
  <si>
    <t>Honorarios</t>
  </si>
  <si>
    <t>Componente Volumen</t>
  </si>
  <si>
    <t>Afiliaciones y Sostenimiento</t>
  </si>
  <si>
    <t>Componente Precio</t>
  </si>
  <si>
    <t>Otros</t>
  </si>
  <si>
    <t>Parqueaderos</t>
  </si>
  <si>
    <t>Gastos de Personal</t>
  </si>
  <si>
    <t>Inventarios</t>
  </si>
  <si>
    <t>Ecuación Contable</t>
  </si>
  <si>
    <t>Total Pasivo de Corto Plazo</t>
  </si>
  <si>
    <t>Propiedad Planta y Equipo</t>
  </si>
  <si>
    <t>Equipo de Computo</t>
  </si>
  <si>
    <t>Muebles y Enseres</t>
  </si>
  <si>
    <t>Maquinaria y Equipo</t>
  </si>
  <si>
    <t>DIFERIDOS</t>
  </si>
  <si>
    <t>Total Activos PPE</t>
  </si>
  <si>
    <t>Total Diferidos</t>
  </si>
  <si>
    <t>Días Promedio de Inventarios</t>
  </si>
  <si>
    <t>Días de Cuentas por Cobrar a Clientes</t>
  </si>
  <si>
    <t>Días Cuentas por Pagar a Proveedores</t>
  </si>
  <si>
    <t>Puntos Adicionales Tasa de Prestamos de Corto plazo</t>
  </si>
  <si>
    <t>Puntos Adicionales Tasa de Prestamos de Largo Plazo</t>
  </si>
  <si>
    <t>Tasa de Impuestos de Renta</t>
  </si>
  <si>
    <t>Otras Activos Corrientes</t>
  </si>
  <si>
    <t>Capital de Trabajo</t>
  </si>
  <si>
    <t>Variación Capital de Trabajo</t>
  </si>
  <si>
    <t>Total CMV</t>
  </si>
  <si>
    <t>Total Capital de Trabajo Inicial</t>
  </si>
  <si>
    <t>Necesidades de Capital de Trabajo</t>
  </si>
  <si>
    <t>Recursos del Emprendedor</t>
  </si>
  <si>
    <t>Productos</t>
  </si>
  <si>
    <t>Presupuesto de Gastos</t>
  </si>
  <si>
    <t>Total Administración</t>
  </si>
  <si>
    <t>Total Ventas</t>
  </si>
  <si>
    <t>Total MOD Producción</t>
  </si>
  <si>
    <t xml:space="preserve">Total Gastos de Ventas </t>
  </si>
  <si>
    <t xml:space="preserve">Total Gastos de Administración </t>
  </si>
  <si>
    <t>Inversión en Diferidos</t>
  </si>
  <si>
    <t>RESUMEN ACTIVOS FIJOS</t>
  </si>
  <si>
    <t>ESTADO DE RESULTADOS (%)</t>
  </si>
  <si>
    <t>Costo Mercancía Vendida</t>
  </si>
  <si>
    <t>Gasto de Depreciación</t>
  </si>
  <si>
    <t>Reservas Retenidas Acumuladas</t>
  </si>
  <si>
    <t>Inversión en Otros Activos de Largo Plazo</t>
  </si>
  <si>
    <t>Total Ingresos</t>
  </si>
  <si>
    <t>Incremento en Ventas</t>
  </si>
  <si>
    <t>Proyección Ingresos</t>
  </si>
  <si>
    <t>Libros, Periódicos y Revistas</t>
  </si>
  <si>
    <t>Útiles y Papelería y Suministros de Oficina</t>
  </si>
  <si>
    <t>Área</t>
  </si>
  <si>
    <t>Producción</t>
  </si>
  <si>
    <t>SALARIO BÁSICO</t>
  </si>
  <si>
    <t>Capital de Trabajo (PS)</t>
  </si>
  <si>
    <t>Interés</t>
  </si>
  <si>
    <t>Pagos de Interés</t>
  </si>
  <si>
    <t>Total Crédito a Largo Plazo</t>
  </si>
  <si>
    <t>TOTAL INVERSIÓN ACTIVOS NO CORRIENTES</t>
  </si>
  <si>
    <t>INVERSIÓN NETA INICIAL REQUERIDA</t>
  </si>
  <si>
    <t>Inversión Inicial Neta en PPE</t>
  </si>
  <si>
    <t>Total Inversión Inicial Requerida</t>
  </si>
  <si>
    <t>Depreciación Acumulada</t>
  </si>
  <si>
    <t>Gastos de Administración</t>
  </si>
  <si>
    <t>Gastos de Ventas</t>
  </si>
  <si>
    <t>Gasto de Amortización</t>
  </si>
  <si>
    <t>Utilidad Operativa</t>
  </si>
  <si>
    <t>Ingresos no Operacionales</t>
  </si>
  <si>
    <t>Gastos no Operacionales</t>
  </si>
  <si>
    <t>Ingresos Financieros</t>
  </si>
  <si>
    <t>Gastos Financieros</t>
  </si>
  <si>
    <t>Impuesto del 4*1000</t>
  </si>
  <si>
    <t>Gastos Bancarios</t>
  </si>
  <si>
    <t>Impuesto de Renta</t>
  </si>
  <si>
    <t>Utilidad Neta</t>
  </si>
  <si>
    <t>Reserva Legal</t>
  </si>
  <si>
    <t>Inversiones Temporales</t>
  </si>
  <si>
    <t>Cuentas x Cobrar a Clientes</t>
  </si>
  <si>
    <t>Inversiones Permanentes</t>
  </si>
  <si>
    <t>Activos Diferidos</t>
  </si>
  <si>
    <t>Cuentas por Pagar a Proveedores</t>
  </si>
  <si>
    <t>Impuestos por Pagar</t>
  </si>
  <si>
    <t>Otras Cuentas por Pagar de Corto Plazo</t>
  </si>
  <si>
    <t>Reservas Acumuladas</t>
  </si>
  <si>
    <t>Resultados de Ejercicios Anteriores</t>
  </si>
  <si>
    <t>Resultado del Ejercicio</t>
  </si>
  <si>
    <t xml:space="preserve">Utilidad Operativa </t>
  </si>
  <si>
    <t>NOPLAT</t>
  </si>
  <si>
    <t>Depreciaciones y Amortizaciones</t>
  </si>
  <si>
    <t>Tasa de Descuento</t>
  </si>
  <si>
    <t>Valor Presente del Residual</t>
  </si>
  <si>
    <t>% Valor Presente del Residual</t>
  </si>
  <si>
    <t>Valor Residual</t>
  </si>
  <si>
    <t>Tasa de Crecimiento Sostenible</t>
  </si>
  <si>
    <t>BALANCE GENERAL (PS)</t>
  </si>
  <si>
    <t>ESTADO DE RESULTADOS (PS)</t>
  </si>
  <si>
    <t>Activo Diferido (Neto)</t>
  </si>
  <si>
    <t>Propiedad Planta y Equipo (Neto)</t>
  </si>
  <si>
    <t>Amortización Acumulada (Diferidos)</t>
  </si>
  <si>
    <t>Amortización Acumulada (Capital Intelectual)</t>
  </si>
  <si>
    <t>Supuesto Proyecciones</t>
  </si>
  <si>
    <t>Utilidad Oper. antes de Depre y Amort.</t>
  </si>
  <si>
    <t>Sup.Proy</t>
  </si>
  <si>
    <t>Crecimiento año a año</t>
  </si>
  <si>
    <t>Volumen</t>
  </si>
  <si>
    <t>I</t>
  </si>
  <si>
    <t>Auxilio de Transporte</t>
  </si>
  <si>
    <t>Transporte Fletes y Acarreos</t>
  </si>
  <si>
    <t>Mantenimientos Construcciones y Edificaciones</t>
  </si>
  <si>
    <t>Mantenimientos Maquinaria y Equipo</t>
  </si>
  <si>
    <t>BPM</t>
  </si>
  <si>
    <t>Taxis y Buses (pasajes Personal de Producción)</t>
  </si>
  <si>
    <t>Casino y Restaurante</t>
  </si>
  <si>
    <t>Aumento de Salarios</t>
  </si>
  <si>
    <t>Factor Prestacional - Ley</t>
  </si>
  <si>
    <t>Aumento de Precios de Venta</t>
  </si>
  <si>
    <t>Aumento de los Costos</t>
  </si>
  <si>
    <t>Reparto de Dividendos</t>
  </si>
  <si>
    <t>Devaluación</t>
  </si>
  <si>
    <t>TRM - Final del Año</t>
  </si>
  <si>
    <t>TRM - Promedio</t>
  </si>
  <si>
    <t>Tasa Aumento de Salarios - Puntos Adicionales al IPC</t>
  </si>
  <si>
    <t>INTAGIBLES</t>
  </si>
  <si>
    <t>Total Intagibles</t>
  </si>
  <si>
    <t>Otras Cuentas por Cobrar Operativas (% de Ventas)</t>
  </si>
  <si>
    <t>Otras Cuentas por Pagar Operativas (% CMV)</t>
  </si>
  <si>
    <t>% Valor Presente de los Flujos</t>
  </si>
  <si>
    <t xml:space="preserve">Valor Presente de los Flujos </t>
  </si>
  <si>
    <t>Total VP de los Flujos Futuros + Valor Residual</t>
  </si>
  <si>
    <t>Valor Inversion Inicial</t>
  </si>
  <si>
    <t>VPN</t>
  </si>
  <si>
    <t>IPC - Variación anual</t>
  </si>
  <si>
    <t>Salario Mínimo Legal Mensual</t>
  </si>
  <si>
    <t>Impuesto a las transacciones Financieras</t>
  </si>
  <si>
    <t>Días del año (días contable)</t>
  </si>
  <si>
    <t>Caja Requerida  para Operación - Días de Ventas</t>
  </si>
  <si>
    <t>% de ventas a Crédito</t>
  </si>
  <si>
    <t>Presupuesto de Costos</t>
  </si>
  <si>
    <t>COSTOS DE PRODUCCIÓN</t>
  </si>
  <si>
    <t>Total Costos de Producción</t>
  </si>
  <si>
    <t xml:space="preserve">Asistencia Técnica </t>
  </si>
  <si>
    <t>Porcentaje sobre Ventas</t>
  </si>
  <si>
    <t>N.D</t>
  </si>
  <si>
    <t>Suministros de Cafetería y Aseo</t>
  </si>
  <si>
    <t>Viáticos y Gastos de Viaje</t>
  </si>
  <si>
    <t>Cálculo Capital de Trabajo Inicial</t>
  </si>
  <si>
    <t>Nuevas Capitalizaciones</t>
  </si>
  <si>
    <t>Saldo Final Préstamos</t>
  </si>
  <si>
    <t>Valor del Crédito</t>
  </si>
  <si>
    <t>Puntos Adicionales</t>
  </si>
  <si>
    <t>Presupuesto de Inversiones</t>
  </si>
  <si>
    <t>Presupuesto de Personal</t>
  </si>
  <si>
    <t>Servicio de la Deuda</t>
  </si>
  <si>
    <t>Utilidades Retenidas del Período</t>
  </si>
  <si>
    <t>Caja (Días de Ventas)</t>
  </si>
  <si>
    <t>Préstamos de Corto Plazo</t>
  </si>
  <si>
    <t>Préstamos de Largo Plazo</t>
  </si>
  <si>
    <t>Flujo de Caja Libre (PS)</t>
  </si>
  <si>
    <t>Mantenimiento equipo de computo</t>
  </si>
  <si>
    <t>Hosting y dominio de la página web</t>
  </si>
  <si>
    <t>Combustibles y lubricantes</t>
  </si>
  <si>
    <t>Participación en ferias</t>
  </si>
  <si>
    <t>Relaciones publicas</t>
  </si>
  <si>
    <t>MES 1</t>
  </si>
  <si>
    <t>MES 2</t>
  </si>
  <si>
    <t>MES 3</t>
  </si>
  <si>
    <t>MES 4</t>
  </si>
  <si>
    <t>MES 5</t>
  </si>
  <si>
    <t>MES 6</t>
  </si>
  <si>
    <t>MES 7</t>
  </si>
  <si>
    <t>MES 8</t>
  </si>
  <si>
    <t>MES 9</t>
  </si>
  <si>
    <t>MES 10</t>
  </si>
  <si>
    <t>MES 11</t>
  </si>
  <si>
    <t>MES 12</t>
  </si>
  <si>
    <t>TOTAL AÑO 1</t>
  </si>
  <si>
    <t>Proyección de ingresos mensuales</t>
  </si>
  <si>
    <t>Presupuesto de costos</t>
  </si>
  <si>
    <t>Mes 1</t>
  </si>
  <si>
    <t>Mes 2</t>
  </si>
  <si>
    <t>Mes 3</t>
  </si>
  <si>
    <t>Mes 4</t>
  </si>
  <si>
    <t>Mes 5</t>
  </si>
  <si>
    <t>Mes 6</t>
  </si>
  <si>
    <t>Mes 7</t>
  </si>
  <si>
    <t>Mes 8</t>
  </si>
  <si>
    <t>Mes 9</t>
  </si>
  <si>
    <t>Mes 10</t>
  </si>
  <si>
    <t>Mes 11</t>
  </si>
  <si>
    <t>Mes 12</t>
  </si>
  <si>
    <t>Valor mes</t>
  </si>
  <si>
    <t>Mano de Obra Indirecta</t>
  </si>
  <si>
    <t>TOTAL     AÑO 1</t>
  </si>
  <si>
    <t>Total MOI</t>
  </si>
  <si>
    <t>Precio promedio</t>
  </si>
  <si>
    <t>Total Inversión Inicial Requerida AF</t>
  </si>
  <si>
    <t>mp</t>
  </si>
  <si>
    <t>cif</t>
  </si>
  <si>
    <t>MANO DE OBRA</t>
  </si>
  <si>
    <t>MATERIA PRIMA</t>
  </si>
  <si>
    <t>CIF</t>
  </si>
  <si>
    <t>SALDO INICIAL</t>
  </si>
  <si>
    <t>VENTAS</t>
  </si>
  <si>
    <t>MENOS</t>
  </si>
  <si>
    <t xml:space="preserve">MAS </t>
  </si>
  <si>
    <t>CXC AÑO ANTERIOR</t>
  </si>
  <si>
    <t>CMV</t>
  </si>
  <si>
    <t>GASTOS ADMON</t>
  </si>
  <si>
    <t>GASTOS DE VENTAS</t>
  </si>
  <si>
    <t>PAGO CREDITO</t>
  </si>
  <si>
    <t xml:space="preserve">MENOS </t>
  </si>
  <si>
    <t>GASTOS FINANCIEROS</t>
  </si>
  <si>
    <t>PAGO RENTA</t>
  </si>
  <si>
    <t>CXP PROVEEDORES AÑO</t>
  </si>
  <si>
    <t>CXP PROVEEDORES AÑO ANTERIOR</t>
  </si>
  <si>
    <t>SALDO FINAL</t>
  </si>
  <si>
    <t xml:space="preserve">CXC AÑO </t>
  </si>
  <si>
    <t>INVERSION EN PPE</t>
  </si>
  <si>
    <t>SALDO EN CAJA AÑO ANTERIOR</t>
  </si>
  <si>
    <t>SALDO EN CAJA AÑO ACTUAL</t>
  </si>
  <si>
    <t>OTRAS CXC PAGAR CORTO PLAZO</t>
  </si>
  <si>
    <t>OTROS ACTIVOS CTES.</t>
  </si>
  <si>
    <t>CAPITALIZACIÓN</t>
  </si>
  <si>
    <t>Gastos de Personal Administrativo</t>
  </si>
  <si>
    <t>Utilidad/Perdida Neta</t>
  </si>
  <si>
    <t>Utilidad/Perdida Neta despues de Reserva Legal</t>
  </si>
  <si>
    <t>PIB - Crecimiento economico</t>
  </si>
  <si>
    <t xml:space="preserve">   % Crecimiento </t>
  </si>
  <si>
    <t xml:space="preserve">Unidades </t>
  </si>
  <si>
    <t>MESES</t>
  </si>
  <si>
    <t>Bancos</t>
  </si>
  <si>
    <t>CANTIDADES</t>
  </si>
  <si>
    <t>VALORES</t>
  </si>
  <si>
    <t>Terrenos</t>
  </si>
  <si>
    <t>Edificaciones</t>
  </si>
  <si>
    <t>Factor de actualización</t>
  </si>
  <si>
    <t>Valor unitario</t>
  </si>
  <si>
    <t>Vida Util</t>
  </si>
  <si>
    <t>Depreciación del periodo</t>
  </si>
  <si>
    <t>subtotal</t>
  </si>
  <si>
    <t>Año</t>
  </si>
  <si>
    <t>DEPRECIACIONES</t>
  </si>
  <si>
    <t>Amortización del periodo</t>
  </si>
  <si>
    <t>Amortización acumulada</t>
  </si>
  <si>
    <t>AMORTIZACIÓN DIFERIDOS</t>
  </si>
  <si>
    <t>AMORTIZACIÓN INTANGIBLES</t>
  </si>
  <si>
    <t xml:space="preserve">Costo de Materia Prima </t>
  </si>
  <si>
    <t xml:space="preserve">   % Crecimiento PIB</t>
  </si>
  <si>
    <t xml:space="preserve">   % Crecimiento Extraordinario</t>
  </si>
  <si>
    <t xml:space="preserve">   % Inflación</t>
  </si>
  <si>
    <t xml:space="preserve">  % Crecimiento </t>
  </si>
  <si>
    <t>PRI</t>
  </si>
  <si>
    <t>HACE PARTE DEL COSTO DE OPERACIÓN</t>
  </si>
  <si>
    <t>Impuesto de industria y comercio</t>
  </si>
  <si>
    <t>Costo variable  MP</t>
  </si>
  <si>
    <t>Costo variable  MOD</t>
  </si>
  <si>
    <t>Costo variable  CIF</t>
  </si>
  <si>
    <t>C.I.F fijos</t>
  </si>
  <si>
    <t>M.O.D fija</t>
  </si>
  <si>
    <t>M.O.D variable</t>
  </si>
  <si>
    <t xml:space="preserve">Total  </t>
  </si>
  <si>
    <t>C.I.F variable</t>
  </si>
  <si>
    <t xml:space="preserve">TOTAL   </t>
  </si>
  <si>
    <t xml:space="preserve">Incremento </t>
  </si>
  <si>
    <t>Costo variable promedio MP</t>
  </si>
  <si>
    <t>Costo variable promedio M.O.D</t>
  </si>
  <si>
    <t>Costo variable promedio C.I.F</t>
  </si>
  <si>
    <t>Servicio de comedor</t>
  </si>
  <si>
    <t>Suministros de oficina</t>
  </si>
  <si>
    <t>Impuestos industria y comercio</t>
  </si>
  <si>
    <t>AÑO 1</t>
  </si>
  <si>
    <t>AÑO 2</t>
  </si>
  <si>
    <t>AÑO 3</t>
  </si>
  <si>
    <t>AÑO 4</t>
  </si>
  <si>
    <t>AÑO 5</t>
  </si>
  <si>
    <t>PROMEDIO</t>
  </si>
  <si>
    <t>RUBRO</t>
  </si>
  <si>
    <t>INGRESOS POR VENTAS</t>
  </si>
  <si>
    <t>CXC MES</t>
  </si>
  <si>
    <t>CXC MES ANTERIOR</t>
  </si>
  <si>
    <t>SALDO EN CAJA MES ANTERIOR</t>
  </si>
  <si>
    <t>TOTAL INGRESOS</t>
  </si>
  <si>
    <t>Cxp a proveedores mes</t>
  </si>
  <si>
    <t>TOTAL CMV</t>
  </si>
  <si>
    <t>TOTAL DE GASTOS FINANCIEROS</t>
  </si>
  <si>
    <t>TOTAL EGRESOS</t>
  </si>
  <si>
    <t>Personal Administrativo y de ventas</t>
  </si>
  <si>
    <t>TOTAL GASTOS DE ADMON Y VENTAS</t>
  </si>
  <si>
    <t>Monto</t>
  </si>
  <si>
    <t>Periodo de gracia</t>
  </si>
  <si>
    <t>TASA DE INDEXACION</t>
  </si>
  <si>
    <t>PUNTOS</t>
  </si>
  <si>
    <t>DTF E.A PROMEDIO</t>
  </si>
  <si>
    <t>DTF T.A PROMEDIO</t>
  </si>
  <si>
    <t>DTF T.A + PUNTOS</t>
  </si>
  <si>
    <t>TASA E.A</t>
  </si>
  <si>
    <t>TASA MENSUAL</t>
  </si>
  <si>
    <t>año 1</t>
  </si>
  <si>
    <t xml:space="preserve">DTF </t>
  </si>
  <si>
    <t>año 2</t>
  </si>
  <si>
    <t>año 3</t>
  </si>
  <si>
    <t>año 4</t>
  </si>
  <si>
    <t>año 5</t>
  </si>
  <si>
    <t>año 6</t>
  </si>
  <si>
    <t>PERIODO</t>
  </si>
  <si>
    <t>INTERES</t>
  </si>
  <si>
    <t>CUOTA</t>
  </si>
  <si>
    <t>AMORTIZACION</t>
  </si>
  <si>
    <t>Plazo (Meses)</t>
  </si>
  <si>
    <t>Periodo de Gracia (Meses)</t>
  </si>
  <si>
    <t>ESTIMACIÓN TASAS DE INTERESES PRESTAMO</t>
  </si>
  <si>
    <t>PAGO OBLIGACIONES FINANCIRAS</t>
  </si>
  <si>
    <t>Intereses Credito LP</t>
  </si>
  <si>
    <t>Intereses Credito CP</t>
  </si>
  <si>
    <t>CREDITOS DE TESORERIA</t>
  </si>
  <si>
    <t>M.O fija</t>
  </si>
  <si>
    <t>Comisión Fondo de Garantias</t>
  </si>
  <si>
    <t>Und</t>
  </si>
  <si>
    <t>%</t>
  </si>
  <si>
    <t>Tasa de Interes de Oportunidad</t>
  </si>
  <si>
    <t>Punto de Equilibrio en pesos</t>
  </si>
  <si>
    <t>º</t>
  </si>
  <si>
    <t>Otros de ventas (servicio externo de mensajería)</t>
  </si>
  <si>
    <t>Flujo de Caja del Inversionista</t>
  </si>
  <si>
    <t>Servicio a la Deuda</t>
  </si>
  <si>
    <t>Indicadores FLUJO DE CAJA DEL INVERSIONISTA</t>
  </si>
  <si>
    <t>TOTAL GASTOS DE ADMINISTRACION</t>
  </si>
  <si>
    <t>Gastos de Personal de Ventas</t>
  </si>
  <si>
    <t>TOTAL GASTOS DE VENTAS</t>
  </si>
  <si>
    <t>INDICADOR</t>
  </si>
  <si>
    <t>Razón Corriente</t>
  </si>
  <si>
    <t>Prueba acida</t>
  </si>
  <si>
    <t>Margen Bruto</t>
  </si>
  <si>
    <t>Margen Operacional</t>
  </si>
  <si>
    <t>Margen Neto</t>
  </si>
  <si>
    <t>Rentabilidad del Activo</t>
  </si>
  <si>
    <t>Rentabilidad del Patrimonio</t>
  </si>
  <si>
    <t>Ebitda</t>
  </si>
  <si>
    <t>AÑO 6</t>
  </si>
  <si>
    <t xml:space="preserve">Año </t>
  </si>
  <si>
    <t>Volumen - Horas</t>
  </si>
  <si>
    <t>Rango Monto</t>
  </si>
  <si>
    <t>&lt;= 12</t>
  </si>
  <si>
    <t>Plazo meses</t>
  </si>
  <si>
    <t>Tipo de Garantía</t>
  </si>
  <si>
    <t>Banca de Riesgo</t>
  </si>
  <si>
    <t>Garantía Real</t>
  </si>
  <si>
    <t>Inf.</t>
  </si>
  <si>
    <t>Sup.</t>
  </si>
  <si>
    <t>&gt; 12 &lt;=18</t>
  </si>
  <si>
    <t>&gt; 18 &lt;=24</t>
  </si>
  <si>
    <t>&gt; 24 &lt;=30</t>
  </si>
  <si>
    <t>&gt; 30 &lt;=36</t>
  </si>
  <si>
    <t>&gt; 36 &lt;=60</t>
  </si>
  <si>
    <t>&gt; 60 &lt;=72</t>
  </si>
  <si>
    <t>Marque X</t>
  </si>
  <si>
    <t>Codeudor</t>
  </si>
  <si>
    <t>Codeudor (2)</t>
  </si>
  <si>
    <t>Ingreso y garantía real</t>
  </si>
  <si>
    <t>Banca de Riesgo y Garantía Real</t>
  </si>
  <si>
    <t>aplica</t>
  </si>
  <si>
    <t>NA</t>
  </si>
  <si>
    <t>Puede seleccionar cualquiera de las tres alternativas</t>
  </si>
  <si>
    <t>BANCA DE RIESGO</t>
  </si>
  <si>
    <t>SEGURO DEUDORES</t>
  </si>
  <si>
    <t>PAGO TOTAL</t>
  </si>
  <si>
    <t xml:space="preserve">IVA </t>
  </si>
  <si>
    <t>Costo por millon/mes</t>
  </si>
  <si>
    <t>Comisión Garantías</t>
  </si>
  <si>
    <t>Comisión Garantia</t>
  </si>
  <si>
    <t>Unidades</t>
  </si>
  <si>
    <t>X</t>
  </si>
  <si>
    <t>Cant mes</t>
  </si>
  <si>
    <t>Operarios</t>
  </si>
  <si>
    <t>Centro de acopio la Bonanza Campesina</t>
  </si>
  <si>
    <t>Motocarguero</t>
  </si>
  <si>
    <t>Carretilla hidráulica</t>
  </si>
  <si>
    <t>Gato estibador</t>
  </si>
  <si>
    <t>Cosedora de sacos</t>
  </si>
  <si>
    <t>Etiquetiadora</t>
  </si>
  <si>
    <t>Congelador horizontal (380Kg)</t>
  </si>
  <si>
    <t>Empacadora al vacío</t>
  </si>
  <si>
    <t>Vitrina enfriador vertical (550 litros)</t>
  </si>
  <si>
    <t>Cámara de conservación (de frío)</t>
  </si>
  <si>
    <t>Televisor</t>
  </si>
  <si>
    <t>Sistema de facturación</t>
  </si>
  <si>
    <t>Sillon gerencial</t>
  </si>
  <si>
    <t>Sillon tipo secretaria</t>
  </si>
  <si>
    <t>Sillon auxiliar</t>
  </si>
  <si>
    <t>Sillon de espera triple</t>
  </si>
  <si>
    <t>Estibas</t>
  </si>
  <si>
    <t>Góndolas</t>
  </si>
  <si>
    <t>Canastas de almacenamiento</t>
  </si>
  <si>
    <t>Anaqueles</t>
  </si>
  <si>
    <t>Mesa de centro con sillas para gerencia</t>
  </si>
  <si>
    <t>Archivadores tipo librero</t>
  </si>
  <si>
    <t>Lokers para persona</t>
  </si>
  <si>
    <t>Archivadores aéreos</t>
  </si>
  <si>
    <t>Computador</t>
  </si>
  <si>
    <t>Software contable</t>
  </si>
  <si>
    <t>Impresora multifuncional</t>
  </si>
  <si>
    <t>Teléfono inalámbrico</t>
  </si>
  <si>
    <t>Celular</t>
  </si>
  <si>
    <t>Calculadoras electrónicas</t>
  </si>
  <si>
    <t>Cámaras de seguridad</t>
  </si>
  <si>
    <t>Administrador</t>
  </si>
  <si>
    <t>Personal de ventas</t>
  </si>
  <si>
    <t>Carguero de apoyo ocasional</t>
  </si>
  <si>
    <t>Asesorias (Capacitación personal)</t>
  </si>
  <si>
    <t>Registro de estatutos y acta de creación</t>
  </si>
  <si>
    <t>Inscripción camara de comercio del nordeste y Magdalena medio</t>
  </si>
  <si>
    <t>Certificado seguridad bomberos</t>
  </si>
  <si>
    <t>Registro de sanidad</t>
  </si>
  <si>
    <t>Consulta del nombre</t>
  </si>
  <si>
    <t>Fotocopias y papelería</t>
  </si>
  <si>
    <t>Material bibliográfico de capacitación</t>
  </si>
  <si>
    <t>MODELO FINANCIERO - CENTRO DE ACOPIO LA BONANZA CAMPESINA</t>
  </si>
  <si>
    <t>Arracacha</t>
  </si>
  <si>
    <t>Repollo Blanco</t>
  </si>
  <si>
    <t>Ají Dulce</t>
  </si>
  <si>
    <t>Ají Picante</t>
  </si>
  <si>
    <t>Ajo importado</t>
  </si>
  <si>
    <t>Arveja Verde</t>
  </si>
  <si>
    <t>Brócoli</t>
  </si>
  <si>
    <t>Cebolla Blanca</t>
  </si>
  <si>
    <t>Cebolla Junca</t>
  </si>
  <si>
    <t>Cebolla roja</t>
  </si>
  <si>
    <t>Cilantro</t>
  </si>
  <si>
    <t>Frijol verde</t>
  </si>
  <si>
    <t>Habichuela</t>
  </si>
  <si>
    <t>Lechuga Batavia</t>
  </si>
  <si>
    <t>Papa Capira</t>
  </si>
  <si>
    <t>Papa criolla</t>
  </si>
  <si>
    <t>Pepino cohombro</t>
  </si>
  <si>
    <t>Perejil</t>
  </si>
  <si>
    <t>Pimenton</t>
  </si>
  <si>
    <t>Plátano Hartón</t>
  </si>
  <si>
    <t>Remolacha</t>
  </si>
  <si>
    <t>Tomate chonto regional</t>
  </si>
  <si>
    <t>Tomate riñon</t>
  </si>
  <si>
    <t>Yuca</t>
  </si>
  <si>
    <t>Zanahoria</t>
  </si>
  <si>
    <t>Aguacate Papelillo</t>
  </si>
  <si>
    <t>Banano criollo</t>
  </si>
  <si>
    <t>Coco San Blas</t>
  </si>
  <si>
    <t>Fresa</t>
  </si>
  <si>
    <t>Granadilla</t>
  </si>
  <si>
    <t>Guanábana Cítrica</t>
  </si>
  <si>
    <t>Guayaba Pera</t>
  </si>
  <si>
    <t>Limón Común</t>
  </si>
  <si>
    <t>Limón Tahití</t>
  </si>
  <si>
    <t>Lulo</t>
  </si>
  <si>
    <t>Mandarina Oneco</t>
  </si>
  <si>
    <t>Mango Tommy</t>
  </si>
  <si>
    <t>Maracuyá Regional</t>
  </si>
  <si>
    <t>Mora Castilla</t>
  </si>
  <si>
    <t>Naranja Tanjelo</t>
  </si>
  <si>
    <t>Papaya Hawaiana</t>
  </si>
  <si>
    <t>Piña Oro Miel</t>
  </si>
  <si>
    <t>Pitahaya</t>
  </si>
  <si>
    <t>Tomate de árbol</t>
  </si>
  <si>
    <t>Uchuva/Capacho</t>
  </si>
  <si>
    <t>Apio</t>
  </si>
  <si>
    <t>Módulos de trabajo gerencial</t>
  </si>
  <si>
    <t>Modulo de trabajo tipo secretaria</t>
  </si>
  <si>
    <t>Modulo de trabajo encargado comercial y ventas</t>
  </si>
  <si>
    <t>Caja Registradora con gramera</t>
  </si>
  <si>
    <t>MARGEN EBITDA</t>
  </si>
  <si>
    <t>ROA( Return on Assets) o Retorno sobre los activos)</t>
  </si>
  <si>
    <t>ROE (Return on Equity) o retorno sobre el capital propio)</t>
  </si>
  <si>
    <t>EVA</t>
  </si>
  <si>
    <t>R B/C</t>
  </si>
  <si>
    <t>ROS (Return on Sales)</t>
  </si>
  <si>
    <t>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</si>
</sst>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8" formatCode="&quot;$&quot;#,##0.00;[Red]\-&quot;$&quot;#,##0.00"/>
    <numFmt numFmtId="164" formatCode="&quot;$&quot;\ #,##0;[Red]&quot;$&quot;\ \-#,##0"/>
    <numFmt numFmtId="165" formatCode="_ * #,##0.00_ ;_ * \-#,##0.00_ ;_ * &quot;-&quot;??_ ;_ @_ "/>
    <numFmt numFmtId="166" formatCode="&quot;$&quot;#,##0_);[Red]\(&quot;$&quot;#,##0\)"/>
    <numFmt numFmtId="167" formatCode="&quot;$&quot;#,##0.00_);[Red]\(&quot;$&quot;#,##0.00\)"/>
    <numFmt numFmtId="168" formatCode="[$$-2C0A]#,##0"/>
    <numFmt numFmtId="169" formatCode="0.0%"/>
    <numFmt numFmtId="170" formatCode="0_ ;[Red]\-0\ "/>
    <numFmt numFmtId="171" formatCode="#,##0_ ;[Red]\-#,##0\ "/>
    <numFmt numFmtId="172" formatCode="0.000000000%"/>
    <numFmt numFmtId="173" formatCode="0.000%"/>
    <numFmt numFmtId="174" formatCode="#,##0.0"/>
    <numFmt numFmtId="175" formatCode="0.000000000"/>
    <numFmt numFmtId="176" formatCode="0.00000000%"/>
    <numFmt numFmtId="177" formatCode="#,##0.00000000000000"/>
    <numFmt numFmtId="178" formatCode="#,##0.0_ ;[Red]\-#,##0.0\ "/>
    <numFmt numFmtId="179" formatCode="_(* #,##0_);_(* \(#,##0\);_(* &quot;-&quot;??_);_(@_)"/>
    <numFmt numFmtId="180" formatCode="0.000000%"/>
    <numFmt numFmtId="181" formatCode="0.0"/>
    <numFmt numFmtId="182" formatCode="_ * #,##0_ ;_ * \-#,##0_ ;_ * &quot;-&quot;??_ ;_ @_ "/>
    <numFmt numFmtId="183" formatCode="#,##0.000"/>
    <numFmt numFmtId="184" formatCode="0.0000"/>
    <numFmt numFmtId="185" formatCode="#,##0.000;[Red]\-#,##0.000"/>
    <numFmt numFmtId="186" formatCode="#,##0.0\ _€;[Red]\-#,##0.0\ _€"/>
    <numFmt numFmtId="187" formatCode="#,##0.00_ ;[Red]\-#,##0.00\ "/>
  </numFmts>
  <fonts count="37" x14ac:knownFonts="1">
    <font>
      <sz val="10"/>
      <name val="MS Sans Serif"/>
    </font>
    <font>
      <sz val="10"/>
      <name val="MS Sans Serif"/>
      <family val="2"/>
    </font>
    <font>
      <sz val="8"/>
      <color indexed="81"/>
      <name val="Tahoma"/>
      <family val="2"/>
    </font>
    <font>
      <b/>
      <sz val="8"/>
      <color indexed="81"/>
      <name val="Tahoma"/>
      <family val="2"/>
    </font>
    <font>
      <sz val="10"/>
      <name val="Arial"/>
      <family val="2"/>
    </font>
    <font>
      <b/>
      <sz val="10"/>
      <name val="Arial"/>
      <family val="2"/>
    </font>
    <font>
      <sz val="10"/>
      <name val="Arial"/>
      <family val="2"/>
    </font>
    <font>
      <b/>
      <sz val="10"/>
      <name val="MS Sans Serif"/>
      <family val="2"/>
    </font>
    <font>
      <b/>
      <sz val="10"/>
      <color indexed="9"/>
      <name val="Arial"/>
      <family val="2"/>
    </font>
    <font>
      <b/>
      <sz val="10"/>
      <color indexed="10"/>
      <name val="Arial"/>
      <family val="2"/>
    </font>
    <font>
      <sz val="10"/>
      <color indexed="8"/>
      <name val="Arial"/>
      <family val="2"/>
    </font>
    <font>
      <b/>
      <sz val="12"/>
      <name val="Arial"/>
      <family val="2"/>
    </font>
    <font>
      <b/>
      <i/>
      <sz val="10"/>
      <name val="Arial"/>
      <family val="2"/>
    </font>
    <font>
      <b/>
      <sz val="10"/>
      <name val="Arial"/>
      <family val="2"/>
    </font>
    <font>
      <b/>
      <sz val="11"/>
      <name val="Arial"/>
      <family val="2"/>
    </font>
    <font>
      <sz val="10"/>
      <name val="MS Sans Serif"/>
      <family val="2"/>
    </font>
    <font>
      <b/>
      <sz val="10"/>
      <color indexed="8"/>
      <name val="Arial"/>
      <family val="2"/>
    </font>
    <font>
      <sz val="12"/>
      <name val="Arial"/>
      <family val="2"/>
    </font>
    <font>
      <sz val="10"/>
      <color indexed="47"/>
      <name val="Arial"/>
      <family val="2"/>
    </font>
    <font>
      <sz val="10"/>
      <color indexed="9"/>
      <name val="Arial"/>
      <family val="2"/>
    </font>
    <font>
      <sz val="10"/>
      <color indexed="9"/>
      <name val="Arial"/>
      <family val="2"/>
    </font>
    <font>
      <sz val="10"/>
      <color indexed="10"/>
      <name val="Arial"/>
      <family val="2"/>
    </font>
    <font>
      <b/>
      <sz val="12"/>
      <color indexed="10"/>
      <name val="Arial"/>
      <family val="2"/>
    </font>
    <font>
      <b/>
      <sz val="12"/>
      <color indexed="9"/>
      <name val="Arial"/>
      <family val="2"/>
    </font>
    <font>
      <sz val="12"/>
      <color indexed="8"/>
      <name val="Arial"/>
      <family val="2"/>
    </font>
    <font>
      <b/>
      <sz val="10"/>
      <color indexed="10"/>
      <name val="Arial"/>
      <family val="2"/>
    </font>
    <font>
      <sz val="10"/>
      <color indexed="10"/>
      <name val="Arial"/>
      <family val="2"/>
    </font>
    <font>
      <i/>
      <sz val="10"/>
      <name val="Arial"/>
      <family val="2"/>
    </font>
    <font>
      <sz val="11"/>
      <color indexed="81"/>
      <name val="Tahoma"/>
      <family val="2"/>
    </font>
    <font>
      <sz val="12"/>
      <color indexed="81"/>
      <name val="Tahoma"/>
      <family val="2"/>
    </font>
    <font>
      <sz val="11"/>
      <name val="Arial"/>
      <family val="2"/>
    </font>
    <font>
      <sz val="12"/>
      <color indexed="60"/>
      <name val="Arial"/>
      <family val="2"/>
    </font>
    <font>
      <b/>
      <sz val="12"/>
      <color indexed="8"/>
      <name val="Arial"/>
      <family val="2"/>
    </font>
    <font>
      <sz val="10"/>
      <color indexed="9"/>
      <name val="Arial"/>
      <family val="2"/>
    </font>
    <font>
      <sz val="8"/>
      <name val="MS Sans Serif"/>
      <family val="2"/>
    </font>
    <font>
      <b/>
      <sz val="9"/>
      <color indexed="81"/>
      <name val="Tahoma"/>
      <family val="2"/>
    </font>
    <font>
      <sz val="10"/>
      <color theme="6" tint="0.79998168889431442"/>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17"/>
        <bgColor indexed="64"/>
      </patternFill>
    </fill>
    <fill>
      <patternFill patternType="solid">
        <fgColor indexed="9"/>
        <bgColor indexed="44"/>
      </patternFill>
    </fill>
    <fill>
      <patternFill patternType="solid">
        <fgColor theme="9" tint="0.39997558519241921"/>
        <bgColor indexed="64"/>
      </patternFill>
    </fill>
  </fills>
  <borders count="74">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bottom/>
      <diagonal/>
    </border>
    <border>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hair">
        <color indexed="64"/>
      </top>
      <bottom style="hair">
        <color indexed="64"/>
      </bottom>
      <diagonal/>
    </border>
  </borders>
  <cellStyleXfs count="9">
    <xf numFmtId="0" fontId="0" fillId="0" borderId="0"/>
    <xf numFmtId="0" fontId="4" fillId="0" borderId="0" applyNumberFormat="0" applyFill="0" applyBorder="0" applyAlignment="0" applyProtection="0"/>
    <xf numFmtId="40" fontId="1" fillId="0" borderId="0" applyFont="0" applyFill="0" applyBorder="0" applyAlignment="0" applyProtection="0"/>
    <xf numFmtId="165" fontId="4" fillId="0" borderId="0" applyFont="0" applyFill="0" applyBorder="0" applyAlignment="0" applyProtection="0"/>
    <xf numFmtId="167" fontId="1" fillId="0" borderId="0" applyFont="0" applyFill="0" applyBorder="0" applyAlignment="0" applyProtection="0"/>
    <xf numFmtId="0" fontId="4" fillId="0" borderId="0"/>
    <xf numFmtId="0" fontId="4" fillId="0" borderId="0"/>
    <xf numFmtId="0" fontId="4" fillId="0" borderId="0"/>
    <xf numFmtId="9" fontId="1" fillId="0" borderId="0" applyFont="0" applyFill="0" applyBorder="0" applyAlignment="0" applyProtection="0"/>
  </cellStyleXfs>
  <cellXfs count="820">
    <xf numFmtId="0" fontId="0" fillId="0" borderId="0" xfId="0"/>
    <xf numFmtId="4" fontId="4" fillId="0" borderId="0" xfId="7" applyNumberFormat="1"/>
    <xf numFmtId="0" fontId="6" fillId="0" borderId="0" xfId="0" applyFont="1"/>
    <xf numFmtId="0" fontId="5" fillId="0" borderId="0" xfId="0" applyFont="1"/>
    <xf numFmtId="4" fontId="4" fillId="0" borderId="0" xfId="7" applyNumberFormat="1" applyFont="1"/>
    <xf numFmtId="0" fontId="5" fillId="0" borderId="0" xfId="0" applyFont="1" applyFill="1" applyBorder="1" applyAlignment="1">
      <alignment horizontal="center"/>
    </xf>
    <xf numFmtId="0" fontId="6" fillId="0" borderId="0" xfId="0" applyFont="1" applyFill="1" applyBorder="1"/>
    <xf numFmtId="0" fontId="5" fillId="0" borderId="0" xfId="0" applyFont="1" applyFill="1" applyBorder="1"/>
    <xf numFmtId="4" fontId="4" fillId="0" borderId="0" xfId="7" applyNumberFormat="1" applyFill="1" applyBorder="1"/>
    <xf numFmtId="4" fontId="5" fillId="0" borderId="0" xfId="7" applyNumberFormat="1" applyFont="1"/>
    <xf numFmtId="4" fontId="5" fillId="0" borderId="0" xfId="7" applyNumberFormat="1" applyFont="1" applyFill="1"/>
    <xf numFmtId="0" fontId="6" fillId="0" borderId="0" xfId="0" applyFont="1" applyFill="1"/>
    <xf numFmtId="0" fontId="6" fillId="2" borderId="0" xfId="0" applyFont="1" applyFill="1" applyBorder="1" applyAlignment="1">
      <alignment horizontal="center"/>
    </xf>
    <xf numFmtId="0" fontId="6" fillId="2" borderId="0" xfId="0" applyFont="1" applyFill="1" applyBorder="1"/>
    <xf numFmtId="38" fontId="6" fillId="0" borderId="0" xfId="2" applyNumberFormat="1" applyFont="1" applyFill="1"/>
    <xf numFmtId="38" fontId="6" fillId="0" borderId="0" xfId="2" applyNumberFormat="1" applyFont="1"/>
    <xf numFmtId="3" fontId="5" fillId="0" borderId="0" xfId="7" applyNumberFormat="1" applyFont="1"/>
    <xf numFmtId="3" fontId="13" fillId="0" borderId="0" xfId="7" applyNumberFormat="1" applyFont="1" applyFill="1" applyBorder="1"/>
    <xf numFmtId="0" fontId="4" fillId="0" borderId="0" xfId="6" applyFont="1"/>
    <xf numFmtId="4" fontId="4" fillId="0" borderId="0" xfId="7" applyNumberFormat="1" applyFill="1"/>
    <xf numFmtId="0" fontId="18" fillId="0" borderId="0" xfId="6" applyFont="1"/>
    <xf numFmtId="4" fontId="4" fillId="2" borderId="0" xfId="7" applyNumberFormat="1" applyFill="1"/>
    <xf numFmtId="3" fontId="5" fillId="2" borderId="0" xfId="7" applyNumberFormat="1" applyFont="1" applyFill="1"/>
    <xf numFmtId="0" fontId="6" fillId="0" borderId="0" xfId="0" applyFont="1" applyProtection="1">
      <protection hidden="1"/>
    </xf>
    <xf numFmtId="0" fontId="5" fillId="0" borderId="0" xfId="0" applyFont="1" applyProtection="1">
      <protection hidden="1"/>
    </xf>
    <xf numFmtId="15" fontId="6" fillId="0" borderId="0" xfId="0" applyNumberFormat="1" applyFont="1" applyAlignment="1" applyProtection="1">
      <alignment horizontal="center"/>
      <protection hidden="1"/>
    </xf>
    <xf numFmtId="0" fontId="6" fillId="0" borderId="1" xfId="0" applyFont="1" applyBorder="1" applyProtection="1">
      <protection hidden="1"/>
    </xf>
    <xf numFmtId="0" fontId="5" fillId="0" borderId="1" xfId="0" applyFont="1" applyBorder="1" applyAlignment="1" applyProtection="1">
      <alignment horizontal="center"/>
      <protection hidden="1"/>
    </xf>
    <xf numFmtId="0" fontId="0" fillId="0" borderId="0" xfId="0" applyProtection="1">
      <protection hidden="1"/>
    </xf>
    <xf numFmtId="4" fontId="4" fillId="0" borderId="1" xfId="4" applyNumberFormat="1" applyFont="1" applyFill="1" applyBorder="1" applyProtection="1">
      <protection hidden="1"/>
    </xf>
    <xf numFmtId="10" fontId="6" fillId="0" borderId="1" xfId="0" applyNumberFormat="1" applyFont="1" applyBorder="1" applyAlignment="1" applyProtection="1">
      <alignment horizontal="right"/>
      <protection hidden="1"/>
    </xf>
    <xf numFmtId="0" fontId="6" fillId="0" borderId="1" xfId="0" applyFont="1" applyBorder="1" applyAlignment="1" applyProtection="1">
      <alignment horizontal="right"/>
      <protection hidden="1"/>
    </xf>
    <xf numFmtId="0" fontId="6" fillId="0" borderId="1" xfId="0" applyFont="1" applyFill="1" applyBorder="1" applyProtection="1">
      <protection hidden="1"/>
    </xf>
    <xf numFmtId="171" fontId="6" fillId="0" borderId="1" xfId="0" applyNumberFormat="1" applyFont="1" applyFill="1" applyBorder="1" applyAlignment="1" applyProtection="1">
      <alignment horizontal="right"/>
      <protection hidden="1"/>
    </xf>
    <xf numFmtId="0" fontId="6" fillId="0" borderId="1" xfId="0" applyFont="1" applyFill="1" applyBorder="1" applyAlignment="1" applyProtection="1">
      <alignment horizontal="right"/>
      <protection hidden="1"/>
    </xf>
    <xf numFmtId="10" fontId="6" fillId="0" borderId="1" xfId="0" applyNumberFormat="1" applyFont="1" applyFill="1" applyBorder="1" applyAlignment="1" applyProtection="1">
      <alignment horizontal="right"/>
      <protection hidden="1"/>
    </xf>
    <xf numFmtId="10" fontId="6" fillId="0" borderId="0" xfId="0" applyNumberFormat="1" applyFont="1" applyProtection="1">
      <protection hidden="1"/>
    </xf>
    <xf numFmtId="171" fontId="6" fillId="0" borderId="0" xfId="0" applyNumberFormat="1" applyFont="1" applyFill="1" applyBorder="1" applyAlignment="1" applyProtection="1">
      <alignment horizontal="right"/>
      <protection hidden="1"/>
    </xf>
    <xf numFmtId="9" fontId="6" fillId="0" borderId="1" xfId="0" applyNumberFormat="1" applyFont="1" applyBorder="1" applyAlignment="1" applyProtection="1">
      <alignment horizontal="right"/>
      <protection hidden="1"/>
    </xf>
    <xf numFmtId="0" fontId="6" fillId="0" borderId="0" xfId="0" applyFont="1" applyBorder="1" applyProtection="1">
      <protection hidden="1"/>
    </xf>
    <xf numFmtId="38" fontId="6" fillId="0" borderId="0" xfId="2" applyNumberFormat="1" applyFont="1" applyFill="1" applyBorder="1" applyAlignment="1" applyProtection="1">
      <alignment horizontal="right"/>
      <protection hidden="1"/>
    </xf>
    <xf numFmtId="38" fontId="6" fillId="0" borderId="0" xfId="2" applyNumberFormat="1" applyFont="1" applyBorder="1" applyAlignment="1" applyProtection="1">
      <alignment horizontal="right"/>
      <protection hidden="1"/>
    </xf>
    <xf numFmtId="0" fontId="5" fillId="0" borderId="0" xfId="0" applyFont="1" applyFill="1" applyBorder="1" applyProtection="1">
      <protection hidden="1"/>
    </xf>
    <xf numFmtId="38" fontId="5" fillId="0" borderId="0" xfId="2" applyNumberFormat="1" applyFont="1" applyFill="1" applyBorder="1" applyAlignment="1" applyProtection="1">
      <alignment horizontal="right"/>
      <protection hidden="1"/>
    </xf>
    <xf numFmtId="0" fontId="8" fillId="0" borderId="0" xfId="0" applyFont="1" applyFill="1" applyBorder="1" applyAlignment="1" applyProtection="1">
      <alignment horizontal="center"/>
      <protection hidden="1"/>
    </xf>
    <xf numFmtId="0" fontId="5" fillId="0" borderId="0" xfId="0" applyFont="1" applyFill="1" applyBorder="1" applyAlignment="1" applyProtection="1">
      <alignment horizontal="center"/>
      <protection hidden="1"/>
    </xf>
    <xf numFmtId="0" fontId="5" fillId="0" borderId="0" xfId="0" applyFont="1" applyFill="1" applyBorder="1" applyAlignment="1" applyProtection="1">
      <alignment horizontal="centerContinuous"/>
      <protection hidden="1"/>
    </xf>
    <xf numFmtId="0" fontId="6" fillId="0" borderId="0" xfId="0" applyFont="1" applyFill="1" applyBorder="1" applyProtection="1">
      <protection hidden="1"/>
    </xf>
    <xf numFmtId="9" fontId="6" fillId="0" borderId="0" xfId="8" applyFont="1" applyFill="1" applyBorder="1" applyProtection="1">
      <protection hidden="1"/>
    </xf>
    <xf numFmtId="3" fontId="6" fillId="0" borderId="0" xfId="0" applyNumberFormat="1" applyFont="1" applyBorder="1" applyProtection="1">
      <protection hidden="1"/>
    </xf>
    <xf numFmtId="0" fontId="6" fillId="0" borderId="0" xfId="0" applyFont="1" applyAlignment="1" applyProtection="1">
      <alignment horizontal="center"/>
      <protection hidden="1"/>
    </xf>
    <xf numFmtId="38" fontId="6" fillId="0" borderId="0" xfId="2" applyNumberFormat="1" applyFont="1" applyAlignment="1" applyProtection="1">
      <alignment horizontal="center"/>
      <protection hidden="1"/>
    </xf>
    <xf numFmtId="9" fontId="5" fillId="0" borderId="0" xfId="8" applyFont="1" applyFill="1" applyBorder="1" applyProtection="1">
      <protection hidden="1"/>
    </xf>
    <xf numFmtId="166" fontId="6" fillId="0" borderId="0" xfId="4" applyNumberFormat="1" applyFont="1" applyFill="1" applyBorder="1" applyAlignment="1" applyProtection="1">
      <alignment horizontal="center"/>
      <protection hidden="1"/>
    </xf>
    <xf numFmtId="166" fontId="5" fillId="0" borderId="0" xfId="4" applyNumberFormat="1" applyFont="1" applyFill="1" applyBorder="1" applyAlignment="1" applyProtection="1">
      <alignment horizontal="center"/>
      <protection hidden="1"/>
    </xf>
    <xf numFmtId="3" fontId="6" fillId="0" borderId="0" xfId="2" applyNumberFormat="1" applyFont="1" applyBorder="1" applyAlignment="1" applyProtection="1">
      <alignment horizontal="right"/>
      <protection hidden="1"/>
    </xf>
    <xf numFmtId="0" fontId="4" fillId="0" borderId="0" xfId="6" applyFont="1" applyBorder="1"/>
    <xf numFmtId="0" fontId="13" fillId="0" borderId="0" xfId="6" applyFont="1" applyBorder="1" applyAlignment="1">
      <alignment wrapText="1"/>
    </xf>
    <xf numFmtId="0" fontId="13" fillId="0" borderId="0" xfId="6" applyFont="1" applyBorder="1"/>
    <xf numFmtId="9" fontId="4" fillId="0" borderId="0" xfId="8" applyFont="1" applyBorder="1"/>
    <xf numFmtId="0" fontId="18" fillId="0" borderId="0" xfId="6" applyFont="1" applyBorder="1"/>
    <xf numFmtId="0" fontId="4" fillId="0" borderId="0" xfId="6" applyFont="1" applyBorder="1" applyAlignment="1">
      <alignment horizontal="center"/>
    </xf>
    <xf numFmtId="0" fontId="4" fillId="0" borderId="0" xfId="6" applyFont="1" applyBorder="1" applyAlignment="1">
      <alignment horizontal="right"/>
    </xf>
    <xf numFmtId="40" fontId="4" fillId="0" borderId="0" xfId="2" applyFont="1" applyBorder="1"/>
    <xf numFmtId="0" fontId="13" fillId="0" borderId="0" xfId="6" applyFont="1" applyBorder="1" applyAlignment="1">
      <alignment horizontal="center"/>
    </xf>
    <xf numFmtId="0" fontId="4" fillId="2" borderId="0" xfId="6" applyFont="1" applyFill="1"/>
    <xf numFmtId="0" fontId="4" fillId="2" borderId="0" xfId="6" applyFont="1" applyFill="1" applyBorder="1"/>
    <xf numFmtId="9" fontId="6" fillId="0" borderId="0" xfId="0" applyNumberFormat="1" applyFont="1" applyFill="1" applyBorder="1" applyAlignment="1" applyProtection="1">
      <alignment horizontal="center"/>
      <protection hidden="1"/>
    </xf>
    <xf numFmtId="0" fontId="6" fillId="2" borderId="0" xfId="0" applyFont="1" applyFill="1" applyProtection="1">
      <protection hidden="1"/>
    </xf>
    <xf numFmtId="38" fontId="6" fillId="0" borderId="0" xfId="2" applyNumberFormat="1" applyFont="1" applyFill="1" applyBorder="1" applyAlignment="1" applyProtection="1">
      <alignment horizontal="center"/>
      <protection hidden="1"/>
    </xf>
    <xf numFmtId="9" fontId="6" fillId="0" borderId="0" xfId="8" applyFont="1" applyFill="1" applyBorder="1" applyAlignment="1" applyProtection="1">
      <alignment horizontal="center"/>
      <protection hidden="1"/>
    </xf>
    <xf numFmtId="0" fontId="6" fillId="0" borderId="0" xfId="0" applyFont="1" applyFill="1" applyBorder="1" applyAlignment="1" applyProtection="1">
      <alignment horizontal="center"/>
      <protection hidden="1"/>
    </xf>
    <xf numFmtId="38" fontId="6" fillId="0" borderId="0" xfId="2" applyNumberFormat="1" applyFont="1" applyFill="1" applyBorder="1" applyProtection="1">
      <protection hidden="1"/>
    </xf>
    <xf numFmtId="38" fontId="6" fillId="0" borderId="0" xfId="0" applyNumberFormat="1" applyFont="1" applyFill="1" applyBorder="1" applyProtection="1">
      <protection hidden="1"/>
    </xf>
    <xf numFmtId="9" fontId="6" fillId="0" borderId="0" xfId="0" applyNumberFormat="1" applyFont="1" applyFill="1" applyBorder="1" applyProtection="1">
      <protection hidden="1"/>
    </xf>
    <xf numFmtId="10" fontId="6" fillId="0" borderId="0" xfId="0" applyNumberFormat="1" applyFont="1" applyFill="1" applyBorder="1" applyProtection="1">
      <protection hidden="1"/>
    </xf>
    <xf numFmtId="169" fontId="6" fillId="0" borderId="0" xfId="0" applyNumberFormat="1" applyFont="1" applyFill="1" applyBorder="1" applyProtection="1">
      <protection hidden="1"/>
    </xf>
    <xf numFmtId="40" fontId="6" fillId="0" borderId="0" xfId="2" applyFont="1" applyFill="1" applyBorder="1" applyProtection="1">
      <protection hidden="1"/>
    </xf>
    <xf numFmtId="0" fontId="5" fillId="0" borderId="1" xfId="0" applyFont="1" applyBorder="1" applyProtection="1">
      <protection hidden="1"/>
    </xf>
    <xf numFmtId="3" fontId="6" fillId="2" borderId="1" xfId="0" applyNumberFormat="1" applyFont="1" applyFill="1" applyBorder="1" applyProtection="1">
      <protection hidden="1"/>
    </xf>
    <xf numFmtId="9" fontId="6" fillId="2" borderId="1" xfId="8" applyFont="1" applyFill="1" applyBorder="1" applyProtection="1">
      <protection hidden="1"/>
    </xf>
    <xf numFmtId="3" fontId="5" fillId="0" borderId="1" xfId="4" applyNumberFormat="1" applyFont="1" applyBorder="1" applyProtection="1">
      <protection hidden="1"/>
    </xf>
    <xf numFmtId="3" fontId="6" fillId="0" borderId="1" xfId="0" applyNumberFormat="1" applyFont="1" applyFill="1" applyBorder="1" applyProtection="1">
      <protection hidden="1"/>
    </xf>
    <xf numFmtId="3" fontId="6" fillId="0" borderId="1" xfId="0" applyNumberFormat="1" applyFont="1" applyBorder="1" applyProtection="1">
      <protection hidden="1"/>
    </xf>
    <xf numFmtId="9" fontId="20" fillId="0" borderId="1" xfId="8" applyFont="1" applyFill="1" applyBorder="1" applyProtection="1">
      <protection hidden="1"/>
    </xf>
    <xf numFmtId="9" fontId="6" fillId="0" borderId="0" xfId="8" applyFont="1" applyProtection="1">
      <protection hidden="1"/>
    </xf>
    <xf numFmtId="0" fontId="26" fillId="0" borderId="0" xfId="0" applyFont="1" applyAlignment="1" applyProtection="1">
      <alignment horizontal="center"/>
      <protection hidden="1"/>
    </xf>
    <xf numFmtId="0" fontId="26" fillId="0" borderId="0" xfId="0" applyFont="1" applyProtection="1">
      <protection hidden="1"/>
    </xf>
    <xf numFmtId="0" fontId="6" fillId="2" borderId="0" xfId="0" applyFont="1" applyFill="1" applyAlignment="1" applyProtection="1">
      <alignment horizontal="center"/>
      <protection hidden="1"/>
    </xf>
    <xf numFmtId="0" fontId="27" fillId="0" borderId="0" xfId="0" applyFont="1" applyProtection="1">
      <protection hidden="1"/>
    </xf>
    <xf numFmtId="0" fontId="12" fillId="0" borderId="0" xfId="0" applyFont="1" applyProtection="1">
      <protection hidden="1"/>
    </xf>
    <xf numFmtId="0" fontId="6" fillId="0" borderId="0" xfId="0" applyFont="1" applyBorder="1" applyAlignment="1" applyProtection="1">
      <alignment horizontal="center"/>
      <protection hidden="1"/>
    </xf>
    <xf numFmtId="3" fontId="6" fillId="0" borderId="0" xfId="0" applyNumberFormat="1" applyFont="1" applyAlignment="1" applyProtection="1">
      <alignment horizontal="center"/>
      <protection hidden="1"/>
    </xf>
    <xf numFmtId="0" fontId="5" fillId="2" borderId="0" xfId="0" applyFont="1" applyFill="1" applyBorder="1" applyAlignment="1" applyProtection="1">
      <alignment horizontal="center"/>
      <protection hidden="1"/>
    </xf>
    <xf numFmtId="38" fontId="6" fillId="2" borderId="2" xfId="2" applyNumberFormat="1" applyFont="1" applyFill="1" applyBorder="1" applyAlignment="1" applyProtection="1">
      <alignment horizontal="center"/>
      <protection hidden="1"/>
    </xf>
    <xf numFmtId="38" fontId="6" fillId="2" borderId="3" xfId="2" applyNumberFormat="1" applyFont="1" applyFill="1" applyBorder="1" applyAlignment="1" applyProtection="1">
      <alignment horizontal="center"/>
      <protection hidden="1"/>
    </xf>
    <xf numFmtId="38" fontId="6" fillId="2" borderId="4" xfId="2" applyNumberFormat="1" applyFont="1" applyFill="1" applyBorder="1" applyAlignment="1" applyProtection="1">
      <alignment horizontal="center"/>
      <protection hidden="1"/>
    </xf>
    <xf numFmtId="38" fontId="6" fillId="2" borderId="5" xfId="2" applyNumberFormat="1" applyFont="1" applyFill="1" applyBorder="1" applyAlignment="1" applyProtection="1">
      <alignment horizontal="center"/>
      <protection hidden="1"/>
    </xf>
    <xf numFmtId="38" fontId="6" fillId="2" borderId="1" xfId="2" applyNumberFormat="1" applyFont="1" applyFill="1" applyBorder="1" applyAlignment="1" applyProtection="1">
      <alignment horizontal="center"/>
      <protection hidden="1"/>
    </xf>
    <xf numFmtId="38" fontId="6" fillId="2" borderId="6" xfId="2" applyNumberFormat="1" applyFont="1" applyFill="1" applyBorder="1" applyAlignment="1" applyProtection="1">
      <alignment horizontal="center"/>
      <protection hidden="1"/>
    </xf>
    <xf numFmtId="38" fontId="6" fillId="2" borderId="7" xfId="2" applyNumberFormat="1" applyFont="1" applyFill="1" applyBorder="1" applyAlignment="1" applyProtection="1">
      <alignment horizontal="center"/>
      <protection hidden="1"/>
    </xf>
    <xf numFmtId="38" fontId="6" fillId="2" borderId="8" xfId="2" applyNumberFormat="1" applyFont="1" applyFill="1" applyBorder="1" applyAlignment="1" applyProtection="1">
      <alignment horizontal="center"/>
      <protection hidden="1"/>
    </xf>
    <xf numFmtId="38" fontId="6" fillId="2" borderId="9" xfId="2" applyNumberFormat="1" applyFont="1" applyFill="1" applyBorder="1" applyAlignment="1" applyProtection="1">
      <alignment horizontal="center"/>
      <protection hidden="1"/>
    </xf>
    <xf numFmtId="0" fontId="5" fillId="2" borderId="0" xfId="0" applyFont="1" applyFill="1" applyAlignment="1" applyProtection="1">
      <alignment horizontal="center"/>
      <protection hidden="1"/>
    </xf>
    <xf numFmtId="0" fontId="27" fillId="2" borderId="0" xfId="0" applyFont="1" applyFill="1" applyAlignment="1" applyProtection="1">
      <alignment horizontal="center"/>
      <protection hidden="1"/>
    </xf>
    <xf numFmtId="38" fontId="6" fillId="2" borderId="10" xfId="2" applyNumberFormat="1" applyFont="1" applyFill="1" applyBorder="1" applyAlignment="1" applyProtection="1">
      <alignment horizontal="center"/>
      <protection hidden="1"/>
    </xf>
    <xf numFmtId="38" fontId="6" fillId="2" borderId="11" xfId="2" applyNumberFormat="1" applyFont="1" applyFill="1" applyBorder="1" applyAlignment="1" applyProtection="1">
      <alignment horizontal="center"/>
      <protection hidden="1"/>
    </xf>
    <xf numFmtId="38" fontId="6" fillId="2" borderId="12" xfId="2" applyNumberFormat="1" applyFont="1" applyFill="1" applyBorder="1" applyAlignment="1" applyProtection="1">
      <alignment horizontal="center"/>
      <protection hidden="1"/>
    </xf>
    <xf numFmtId="0" fontId="12" fillId="2" borderId="0" xfId="0" applyFont="1" applyFill="1" applyAlignment="1" applyProtection="1">
      <alignment horizontal="center"/>
      <protection hidden="1"/>
    </xf>
    <xf numFmtId="0" fontId="6" fillId="2" borderId="1" xfId="0" applyFont="1" applyFill="1" applyBorder="1" applyAlignment="1" applyProtection="1">
      <alignment horizontal="left"/>
      <protection hidden="1"/>
    </xf>
    <xf numFmtId="3" fontId="6" fillId="0" borderId="1" xfId="0" applyNumberFormat="1" applyFont="1" applyFill="1" applyBorder="1" applyAlignment="1" applyProtection="1">
      <alignment horizontal="right"/>
      <protection hidden="1"/>
    </xf>
    <xf numFmtId="3" fontId="6" fillId="0" borderId="1" xfId="4" applyNumberFormat="1" applyFont="1" applyFill="1" applyBorder="1" applyAlignment="1" applyProtection="1">
      <alignment horizontal="right"/>
      <protection hidden="1"/>
    </xf>
    <xf numFmtId="0" fontId="6" fillId="0" borderId="1" xfId="0" applyFont="1" applyFill="1" applyBorder="1" applyAlignment="1" applyProtection="1">
      <alignment horizontal="left"/>
      <protection hidden="1"/>
    </xf>
    <xf numFmtId="0" fontId="5" fillId="0" borderId="1" xfId="0" applyFont="1" applyFill="1" applyBorder="1" applyAlignment="1" applyProtection="1">
      <alignment horizontal="center"/>
      <protection hidden="1"/>
    </xf>
    <xf numFmtId="0" fontId="6" fillId="0" borderId="0" xfId="0" applyFont="1" applyFill="1" applyBorder="1" applyAlignment="1" applyProtection="1">
      <alignment horizontal="left"/>
      <protection hidden="1"/>
    </xf>
    <xf numFmtId="167" fontId="6" fillId="0" borderId="0" xfId="4" applyFont="1" applyFill="1" applyBorder="1" applyAlignment="1" applyProtection="1">
      <alignment horizontal="center"/>
      <protection hidden="1"/>
    </xf>
    <xf numFmtId="167" fontId="6" fillId="0" borderId="1" xfId="4" applyFont="1" applyFill="1" applyBorder="1" applyAlignment="1" applyProtection="1">
      <alignment horizontal="center"/>
      <protection hidden="1"/>
    </xf>
    <xf numFmtId="3" fontId="6" fillId="0" borderId="1" xfId="2" applyNumberFormat="1" applyFont="1" applyBorder="1" applyAlignment="1" applyProtection="1">
      <alignment horizontal="right"/>
      <protection hidden="1"/>
    </xf>
    <xf numFmtId="0" fontId="6" fillId="0" borderId="1" xfId="0" applyFont="1" applyBorder="1" applyAlignment="1" applyProtection="1">
      <alignment horizontal="center"/>
      <protection hidden="1"/>
    </xf>
    <xf numFmtId="0" fontId="5" fillId="0" borderId="0" xfId="2" applyNumberFormat="1" applyFont="1" applyBorder="1" applyAlignment="1" applyProtection="1">
      <protection hidden="1"/>
    </xf>
    <xf numFmtId="0" fontId="6" fillId="3" borderId="0" xfId="0" applyFont="1" applyFill="1" applyBorder="1" applyAlignment="1" applyProtection="1">
      <alignment horizontal="center"/>
      <protection hidden="1"/>
    </xf>
    <xf numFmtId="0" fontId="5" fillId="3" borderId="13" xfId="0" applyFont="1" applyFill="1" applyBorder="1" applyAlignment="1" applyProtection="1">
      <alignment horizontal="center" vertical="center"/>
      <protection hidden="1"/>
    </xf>
    <xf numFmtId="38" fontId="6" fillId="0" borderId="1" xfId="2" applyNumberFormat="1" applyFont="1" applyBorder="1" applyAlignment="1" applyProtection="1">
      <alignment horizontal="center"/>
      <protection hidden="1"/>
    </xf>
    <xf numFmtId="0" fontId="5" fillId="3" borderId="1" xfId="0" applyFont="1" applyFill="1" applyBorder="1" applyProtection="1">
      <protection hidden="1"/>
    </xf>
    <xf numFmtId="0" fontId="5" fillId="3" borderId="1" xfId="0" applyFont="1" applyFill="1" applyBorder="1" applyAlignment="1" applyProtection="1">
      <alignment horizontal="center"/>
      <protection hidden="1"/>
    </xf>
    <xf numFmtId="38" fontId="5" fillId="3" borderId="1" xfId="0" applyNumberFormat="1" applyFont="1" applyFill="1" applyBorder="1" applyAlignment="1" applyProtection="1">
      <alignment horizontal="center"/>
      <protection hidden="1"/>
    </xf>
    <xf numFmtId="38" fontId="6" fillId="0" borderId="0" xfId="0" applyNumberFormat="1" applyFont="1" applyAlignment="1" applyProtection="1">
      <alignment horizontal="center"/>
      <protection hidden="1"/>
    </xf>
    <xf numFmtId="0" fontId="6" fillId="3" borderId="1" xfId="0" applyFont="1" applyFill="1" applyBorder="1" applyAlignment="1" applyProtection="1">
      <alignment horizontal="center"/>
      <protection hidden="1"/>
    </xf>
    <xf numFmtId="0" fontId="6" fillId="2" borderId="1" xfId="0" applyFont="1" applyFill="1" applyBorder="1" applyProtection="1">
      <protection hidden="1"/>
    </xf>
    <xf numFmtId="10" fontId="6" fillId="2" borderId="1" xfId="8" applyNumberFormat="1" applyFont="1" applyFill="1" applyBorder="1" applyProtection="1">
      <protection hidden="1"/>
    </xf>
    <xf numFmtId="3" fontId="6" fillId="0" borderId="0" xfId="0" applyNumberFormat="1" applyFont="1" applyProtection="1">
      <protection hidden="1"/>
    </xf>
    <xf numFmtId="3" fontId="4" fillId="0" borderId="0" xfId="6" applyNumberFormat="1" applyFont="1"/>
    <xf numFmtId="3" fontId="6" fillId="4" borderId="1" xfId="0" applyNumberFormat="1" applyFont="1" applyFill="1" applyBorder="1" applyProtection="1">
      <protection hidden="1"/>
    </xf>
    <xf numFmtId="38" fontId="6" fillId="0" borderId="0" xfId="2" applyNumberFormat="1" applyFont="1" applyProtection="1">
      <protection hidden="1"/>
    </xf>
    <xf numFmtId="3" fontId="5" fillId="3" borderId="1" xfId="4" applyNumberFormat="1" applyFont="1" applyFill="1" applyBorder="1" applyProtection="1">
      <protection hidden="1"/>
    </xf>
    <xf numFmtId="0" fontId="14" fillId="3" borderId="1" xfId="0" applyFont="1" applyFill="1" applyBorder="1" applyProtection="1">
      <protection hidden="1"/>
    </xf>
    <xf numFmtId="3" fontId="14" fillId="3" borderId="1" xfId="4" applyNumberFormat="1" applyFont="1" applyFill="1" applyBorder="1" applyProtection="1">
      <protection hidden="1"/>
    </xf>
    <xf numFmtId="0" fontId="13" fillId="3" borderId="1" xfId="0" applyFont="1" applyFill="1" applyBorder="1" applyAlignment="1" applyProtection="1">
      <alignment horizontal="center"/>
      <protection hidden="1"/>
    </xf>
    <xf numFmtId="0" fontId="6" fillId="3" borderId="1" xfId="0" applyFont="1" applyFill="1" applyBorder="1" applyProtection="1">
      <protection hidden="1"/>
    </xf>
    <xf numFmtId="0" fontId="9" fillId="3" borderId="14" xfId="0" applyFont="1" applyFill="1" applyBorder="1" applyAlignment="1" applyProtection="1">
      <alignment horizontal="center" vertical="center"/>
      <protection hidden="1"/>
    </xf>
    <xf numFmtId="0" fontId="5" fillId="3" borderId="14" xfId="0" applyFont="1" applyFill="1" applyBorder="1" applyAlignment="1" applyProtection="1">
      <alignment horizontal="center" vertical="center"/>
      <protection hidden="1"/>
    </xf>
    <xf numFmtId="0" fontId="5" fillId="3" borderId="1" xfId="0" applyFont="1" applyFill="1" applyBorder="1" applyAlignment="1" applyProtection="1">
      <alignment horizontal="center" wrapText="1"/>
      <protection hidden="1"/>
    </xf>
    <xf numFmtId="0" fontId="5" fillId="3" borderId="11" xfId="0" applyFont="1" applyFill="1" applyBorder="1" applyProtection="1">
      <protection hidden="1"/>
    </xf>
    <xf numFmtId="0" fontId="12" fillId="3" borderId="15" xfId="0" applyFont="1" applyFill="1" applyBorder="1" applyAlignment="1" applyProtection="1">
      <alignment horizontal="right"/>
      <protection hidden="1"/>
    </xf>
    <xf numFmtId="38" fontId="5" fillId="3" borderId="15" xfId="0" applyNumberFormat="1" applyFont="1" applyFill="1" applyBorder="1" applyAlignment="1" applyProtection="1">
      <alignment horizontal="right"/>
      <protection hidden="1"/>
    </xf>
    <xf numFmtId="0" fontId="9" fillId="3" borderId="13" xfId="0" applyFont="1" applyFill="1" applyBorder="1" applyAlignment="1" applyProtection="1">
      <alignment horizontal="center"/>
      <protection hidden="1"/>
    </xf>
    <xf numFmtId="0" fontId="5" fillId="3" borderId="13" xfId="0" applyFont="1" applyFill="1" applyBorder="1" applyAlignment="1" applyProtection="1">
      <alignment horizontal="center"/>
      <protection hidden="1"/>
    </xf>
    <xf numFmtId="0" fontId="9" fillId="3" borderId="14" xfId="0" applyFont="1" applyFill="1" applyBorder="1" applyAlignment="1" applyProtection="1">
      <alignment horizontal="center"/>
      <protection hidden="1"/>
    </xf>
    <xf numFmtId="0" fontId="5" fillId="3" borderId="14" xfId="0" applyFont="1" applyFill="1" applyBorder="1" applyAlignment="1" applyProtection="1">
      <alignment horizontal="center"/>
      <protection hidden="1"/>
    </xf>
    <xf numFmtId="0" fontId="12" fillId="3" borderId="15" xfId="0" applyFont="1" applyFill="1" applyBorder="1" applyProtection="1">
      <protection hidden="1"/>
    </xf>
    <xf numFmtId="38" fontId="5" fillId="3" borderId="15" xfId="2" applyNumberFormat="1" applyFont="1" applyFill="1" applyBorder="1" applyAlignment="1" applyProtection="1">
      <alignment horizontal="right"/>
      <protection hidden="1"/>
    </xf>
    <xf numFmtId="3" fontId="5" fillId="3" borderId="15" xfId="0" applyNumberFormat="1" applyFont="1" applyFill="1" applyBorder="1" applyAlignment="1" applyProtection="1">
      <alignment horizontal="center"/>
      <protection hidden="1"/>
    </xf>
    <xf numFmtId="3" fontId="5" fillId="3" borderId="15" xfId="0" applyNumberFormat="1" applyFont="1" applyFill="1" applyBorder="1" applyAlignment="1" applyProtection="1">
      <alignment horizontal="right"/>
      <protection hidden="1"/>
    </xf>
    <xf numFmtId="0" fontId="5" fillId="3" borderId="1" xfId="0" applyFont="1" applyFill="1" applyBorder="1" applyAlignment="1" applyProtection="1">
      <alignment horizontal="left"/>
      <protection hidden="1"/>
    </xf>
    <xf numFmtId="0" fontId="9" fillId="3" borderId="1" xfId="0" applyFont="1" applyFill="1" applyBorder="1" applyAlignment="1" applyProtection="1">
      <alignment horizontal="center"/>
      <protection hidden="1"/>
    </xf>
    <xf numFmtId="0" fontId="5" fillId="3" borderId="1" xfId="0" applyFont="1" applyFill="1" applyBorder="1" applyAlignment="1" applyProtection="1">
      <alignment horizontal="center" vertical="center"/>
      <protection hidden="1"/>
    </xf>
    <xf numFmtId="3" fontId="5" fillId="3" borderId="1" xfId="4" applyNumberFormat="1" applyFont="1" applyFill="1" applyBorder="1" applyAlignment="1" applyProtection="1">
      <alignment horizontal="right"/>
      <protection hidden="1"/>
    </xf>
    <xf numFmtId="3" fontId="5" fillId="3" borderId="1" xfId="0" applyNumberFormat="1" applyFont="1" applyFill="1" applyBorder="1" applyAlignment="1" applyProtection="1">
      <alignment horizontal="right"/>
      <protection hidden="1"/>
    </xf>
    <xf numFmtId="3" fontId="5" fillId="3" borderId="1" xfId="2" applyNumberFormat="1" applyFont="1" applyFill="1" applyBorder="1" applyAlignment="1" applyProtection="1">
      <alignment horizontal="right"/>
      <protection hidden="1"/>
    </xf>
    <xf numFmtId="3" fontId="5" fillId="3" borderId="1" xfId="0" applyNumberFormat="1" applyFont="1" applyFill="1" applyBorder="1" applyProtection="1">
      <protection hidden="1"/>
    </xf>
    <xf numFmtId="10" fontId="5" fillId="3" borderId="1" xfId="8" applyNumberFormat="1" applyFont="1" applyFill="1" applyBorder="1" applyProtection="1">
      <protection hidden="1"/>
    </xf>
    <xf numFmtId="0" fontId="5" fillId="3" borderId="0" xfId="0" applyFont="1" applyFill="1" applyBorder="1" applyAlignment="1" applyProtection="1">
      <alignment horizontal="center"/>
      <protection hidden="1"/>
    </xf>
    <xf numFmtId="0" fontId="5" fillId="3" borderId="0" xfId="2" applyNumberFormat="1" applyFont="1" applyFill="1" applyBorder="1" applyAlignment="1" applyProtection="1">
      <alignment horizontal="center"/>
      <protection hidden="1"/>
    </xf>
    <xf numFmtId="38" fontId="6" fillId="0" borderId="0" xfId="2" applyNumberFormat="1" applyFont="1" applyBorder="1" applyAlignment="1" applyProtection="1">
      <alignment horizontal="center"/>
      <protection hidden="1"/>
    </xf>
    <xf numFmtId="0" fontId="9" fillId="3" borderId="16" xfId="0" applyFont="1" applyFill="1" applyBorder="1" applyAlignment="1" applyProtection="1">
      <alignment horizontal="center"/>
      <protection hidden="1"/>
    </xf>
    <xf numFmtId="0" fontId="5" fillId="3" borderId="17" xfId="0" applyFont="1" applyFill="1" applyBorder="1" applyAlignment="1" applyProtection="1">
      <alignment horizontal="center" vertical="center"/>
      <protection hidden="1"/>
    </xf>
    <xf numFmtId="0" fontId="17" fillId="0" borderId="0" xfId="0" applyFont="1" applyProtection="1">
      <protection hidden="1"/>
    </xf>
    <xf numFmtId="0" fontId="33" fillId="0" borderId="0" xfId="0" applyFont="1" applyAlignment="1" applyProtection="1">
      <alignment horizontal="center"/>
      <protection hidden="1"/>
    </xf>
    <xf numFmtId="0" fontId="33" fillId="0" borderId="0" xfId="0" applyFont="1" applyProtection="1">
      <protection hidden="1"/>
    </xf>
    <xf numFmtId="40" fontId="33" fillId="0" borderId="0" xfId="2" applyFont="1" applyProtection="1">
      <protection hidden="1"/>
    </xf>
    <xf numFmtId="38" fontId="12" fillId="3" borderId="15" xfId="0" applyNumberFormat="1" applyFont="1" applyFill="1" applyBorder="1" applyAlignment="1" applyProtection="1">
      <alignment horizontal="right"/>
      <protection hidden="1"/>
    </xf>
    <xf numFmtId="0" fontId="4" fillId="0" borderId="1" xfId="0" applyFont="1" applyFill="1" applyBorder="1" applyProtection="1">
      <protection hidden="1"/>
    </xf>
    <xf numFmtId="0" fontId="4" fillId="0" borderId="0" xfId="0" applyFont="1" applyProtection="1">
      <protection hidden="1"/>
    </xf>
    <xf numFmtId="0" fontId="4" fillId="0" borderId="0" xfId="0" applyFont="1"/>
    <xf numFmtId="0" fontId="17" fillId="0" borderId="0" xfId="0" applyFont="1"/>
    <xf numFmtId="0" fontId="7" fillId="0" borderId="0" xfId="0" applyFont="1"/>
    <xf numFmtId="10" fontId="6" fillId="4" borderId="1" xfId="0" applyNumberFormat="1" applyFont="1" applyFill="1" applyBorder="1" applyAlignment="1" applyProtection="1">
      <alignment horizontal="right"/>
      <protection locked="0"/>
    </xf>
    <xf numFmtId="4" fontId="4" fillId="4" borderId="1" xfId="4" applyNumberFormat="1" applyFont="1" applyFill="1" applyBorder="1" applyProtection="1">
      <protection locked="0"/>
    </xf>
    <xf numFmtId="0" fontId="5" fillId="4" borderId="1" xfId="0" applyFont="1" applyFill="1" applyBorder="1" applyAlignment="1" applyProtection="1">
      <alignment horizontal="center"/>
      <protection locked="0"/>
    </xf>
    <xf numFmtId="171" fontId="6" fillId="4" borderId="1" xfId="0" applyNumberFormat="1" applyFont="1" applyFill="1" applyBorder="1" applyAlignment="1" applyProtection="1">
      <alignment horizontal="right"/>
      <protection locked="0"/>
    </xf>
    <xf numFmtId="9" fontId="6" fillId="4" borderId="1" xfId="0" applyNumberFormat="1" applyFont="1" applyFill="1" applyBorder="1" applyAlignment="1" applyProtection="1">
      <alignment horizontal="right"/>
      <protection locked="0"/>
    </xf>
    <xf numFmtId="10" fontId="6" fillId="4" borderId="1" xfId="8" applyNumberFormat="1" applyFont="1" applyFill="1" applyBorder="1" applyAlignment="1" applyProtection="1">
      <alignment horizontal="right"/>
      <protection locked="0"/>
    </xf>
    <xf numFmtId="9" fontId="6" fillId="4" borderId="1" xfId="8" applyFont="1" applyFill="1" applyBorder="1" applyAlignment="1" applyProtection="1">
      <alignment horizontal="right"/>
      <protection locked="0"/>
    </xf>
    <xf numFmtId="0" fontId="6" fillId="4" borderId="1" xfId="0" applyFont="1" applyFill="1" applyBorder="1" applyAlignment="1" applyProtection="1">
      <alignment horizontal="right"/>
      <protection locked="0"/>
    </xf>
    <xf numFmtId="169" fontId="6" fillId="4" borderId="1" xfId="8" applyNumberFormat="1" applyFont="1" applyFill="1" applyBorder="1" applyAlignment="1" applyProtection="1">
      <alignment horizontal="right"/>
      <protection locked="0"/>
    </xf>
    <xf numFmtId="9" fontId="6" fillId="4" borderId="1" xfId="8" applyFont="1" applyFill="1" applyBorder="1" applyProtection="1">
      <protection locked="0"/>
    </xf>
    <xf numFmtId="3" fontId="6" fillId="4" borderId="1" xfId="0" applyNumberFormat="1" applyFont="1" applyFill="1" applyBorder="1" applyProtection="1">
      <protection locked="0"/>
    </xf>
    <xf numFmtId="0" fontId="6" fillId="0" borderId="1" xfId="0" applyFont="1" applyFill="1" applyBorder="1" applyAlignment="1" applyProtection="1">
      <alignment horizontal="right"/>
      <protection locked="0"/>
    </xf>
    <xf numFmtId="0" fontId="5" fillId="4" borderId="1" xfId="0" applyFont="1" applyFill="1" applyBorder="1" applyProtection="1">
      <protection locked="0"/>
    </xf>
    <xf numFmtId="38" fontId="6" fillId="4" borderId="18" xfId="2" applyNumberFormat="1" applyFont="1" applyFill="1" applyBorder="1" applyProtection="1">
      <protection locked="0"/>
    </xf>
    <xf numFmtId="0" fontId="6" fillId="4" borderId="2" xfId="0" applyFont="1" applyFill="1" applyBorder="1" applyAlignment="1" applyProtection="1">
      <alignment horizontal="center"/>
      <protection locked="0"/>
    </xf>
    <xf numFmtId="0" fontId="6" fillId="4" borderId="3" xfId="0" applyFont="1" applyFill="1" applyBorder="1" applyAlignment="1" applyProtection="1">
      <alignment horizontal="center"/>
      <protection locked="0"/>
    </xf>
    <xf numFmtId="0" fontId="6" fillId="4" borderId="19" xfId="0" applyFont="1" applyFill="1" applyBorder="1" applyAlignment="1" applyProtection="1">
      <alignment horizontal="center"/>
      <protection locked="0"/>
    </xf>
    <xf numFmtId="0" fontId="6" fillId="4" borderId="5" xfId="0" applyFont="1" applyFill="1" applyBorder="1" applyAlignment="1" applyProtection="1">
      <alignment horizontal="center"/>
      <protection locked="0"/>
    </xf>
    <xf numFmtId="0" fontId="6" fillId="4" borderId="1" xfId="0" applyFont="1" applyFill="1" applyBorder="1" applyAlignment="1" applyProtection="1">
      <alignment horizontal="center"/>
      <protection locked="0"/>
    </xf>
    <xf numFmtId="0" fontId="6" fillId="4" borderId="20" xfId="0" applyFont="1" applyFill="1" applyBorder="1" applyAlignment="1" applyProtection="1">
      <alignment horizontal="center"/>
      <protection locked="0"/>
    </xf>
    <xf numFmtId="0" fontId="6" fillId="4" borderId="7" xfId="0" applyFont="1" applyFill="1" applyBorder="1" applyAlignment="1" applyProtection="1">
      <alignment horizontal="center"/>
      <protection locked="0"/>
    </xf>
    <xf numFmtId="0" fontId="6" fillId="4" borderId="8" xfId="0" applyFont="1" applyFill="1" applyBorder="1" applyAlignment="1" applyProtection="1">
      <alignment horizontal="center"/>
      <protection locked="0"/>
    </xf>
    <xf numFmtId="0" fontId="6" fillId="4" borderId="21" xfId="0" applyFont="1" applyFill="1" applyBorder="1" applyAlignment="1" applyProtection="1">
      <alignment horizontal="center"/>
      <protection locked="0"/>
    </xf>
    <xf numFmtId="0" fontId="30" fillId="4" borderId="2" xfId="0" applyFont="1" applyFill="1" applyBorder="1" applyAlignment="1" applyProtection="1">
      <alignment horizontal="center"/>
      <protection locked="0"/>
    </xf>
    <xf numFmtId="0" fontId="5" fillId="4" borderId="11" xfId="0" applyFont="1" applyFill="1" applyBorder="1" applyProtection="1">
      <protection locked="0"/>
    </xf>
    <xf numFmtId="0" fontId="30" fillId="4" borderId="1" xfId="0" applyFont="1" applyFill="1" applyBorder="1" applyProtection="1">
      <protection locked="0"/>
    </xf>
    <xf numFmtId="38" fontId="30" fillId="4" borderId="18" xfId="2" applyNumberFormat="1" applyFont="1" applyFill="1" applyBorder="1" applyAlignment="1" applyProtection="1">
      <alignment horizontal="center"/>
      <protection locked="0"/>
    </xf>
    <xf numFmtId="0" fontId="30" fillId="4" borderId="5" xfId="0" applyFont="1" applyFill="1" applyBorder="1" applyAlignment="1" applyProtection="1">
      <alignment horizontal="center"/>
      <protection locked="0"/>
    </xf>
    <xf numFmtId="0" fontId="30" fillId="4" borderId="13" xfId="0" applyFont="1" applyFill="1" applyBorder="1" applyProtection="1">
      <protection locked="0"/>
    </xf>
    <xf numFmtId="38" fontId="30" fillId="4" borderId="22" xfId="2" applyNumberFormat="1" applyFont="1" applyFill="1" applyBorder="1" applyAlignment="1" applyProtection="1">
      <alignment horizontal="center"/>
      <protection locked="0"/>
    </xf>
    <xf numFmtId="0" fontId="30" fillId="4" borderId="23" xfId="0" applyFont="1" applyFill="1" applyBorder="1" applyAlignment="1" applyProtection="1">
      <alignment horizontal="center"/>
      <protection locked="0"/>
    </xf>
    <xf numFmtId="0" fontId="4" fillId="4" borderId="1" xfId="0" applyFont="1" applyFill="1" applyBorder="1" applyProtection="1">
      <protection locked="0"/>
    </xf>
    <xf numFmtId="38" fontId="4" fillId="4" borderId="18" xfId="2" applyNumberFormat="1" applyFont="1" applyFill="1" applyBorder="1" applyAlignment="1" applyProtection="1">
      <alignment horizontal="center"/>
      <protection locked="0"/>
    </xf>
    <xf numFmtId="0" fontId="4" fillId="4" borderId="5" xfId="0" applyFont="1" applyFill="1" applyBorder="1" applyAlignment="1" applyProtection="1">
      <alignment horizontal="center"/>
      <protection locked="0"/>
    </xf>
    <xf numFmtId="0" fontId="6" fillId="4" borderId="1" xfId="0" applyFont="1" applyFill="1" applyBorder="1" applyProtection="1">
      <protection locked="0"/>
    </xf>
    <xf numFmtId="38" fontId="6" fillId="4" borderId="18" xfId="2" applyNumberFormat="1" applyFont="1" applyFill="1" applyBorder="1" applyAlignment="1" applyProtection="1">
      <alignment horizontal="center"/>
      <protection locked="0"/>
    </xf>
    <xf numFmtId="0" fontId="5" fillId="3" borderId="15" xfId="0" applyFont="1" applyFill="1" applyBorder="1" applyProtection="1">
      <protection hidden="1"/>
    </xf>
    <xf numFmtId="38" fontId="12" fillId="3" borderId="15" xfId="0" applyNumberFormat="1" applyFont="1" applyFill="1" applyBorder="1" applyProtection="1">
      <protection hidden="1"/>
    </xf>
    <xf numFmtId="0" fontId="6" fillId="4" borderId="8" xfId="0" applyFont="1" applyFill="1" applyBorder="1" applyProtection="1">
      <protection locked="0"/>
    </xf>
    <xf numFmtId="38" fontId="6" fillId="4" borderId="9" xfId="2" applyNumberFormat="1" applyFont="1" applyFill="1" applyBorder="1" applyAlignment="1" applyProtection="1">
      <alignment horizontal="center"/>
      <protection locked="0"/>
    </xf>
    <xf numFmtId="38" fontId="6" fillId="4" borderId="6" xfId="2" applyNumberFormat="1" applyFont="1" applyFill="1" applyBorder="1" applyProtection="1">
      <protection locked="0"/>
    </xf>
    <xf numFmtId="0" fontId="5" fillId="4" borderId="12" xfId="0" applyFont="1" applyFill="1" applyBorder="1" applyProtection="1">
      <protection locked="0"/>
    </xf>
    <xf numFmtId="38" fontId="6" fillId="4" borderId="9" xfId="2" applyNumberFormat="1" applyFont="1" applyFill="1" applyBorder="1" applyProtection="1">
      <protection locked="0"/>
    </xf>
    <xf numFmtId="0" fontId="5" fillId="4" borderId="8" xfId="0" applyFont="1" applyFill="1" applyBorder="1" applyProtection="1">
      <protection locked="0"/>
    </xf>
    <xf numFmtId="0" fontId="30" fillId="4" borderId="24" xfId="0" applyFont="1" applyFill="1" applyBorder="1" applyProtection="1">
      <protection locked="0"/>
    </xf>
    <xf numFmtId="38" fontId="30" fillId="4" borderId="25" xfId="2" applyNumberFormat="1" applyFont="1" applyFill="1" applyBorder="1" applyProtection="1">
      <protection locked="0"/>
    </xf>
    <xf numFmtId="0" fontId="5" fillId="3" borderId="8" xfId="0" applyFont="1" applyFill="1" applyBorder="1" applyProtection="1">
      <protection hidden="1"/>
    </xf>
    <xf numFmtId="0" fontId="5" fillId="3" borderId="8" xfId="0" applyFont="1" applyFill="1" applyBorder="1" applyAlignment="1" applyProtection="1">
      <alignment horizontal="center"/>
      <protection hidden="1"/>
    </xf>
    <xf numFmtId="38" fontId="6" fillId="4" borderId="3" xfId="0" applyNumberFormat="1" applyFont="1" applyFill="1" applyBorder="1" applyAlignment="1" applyProtection="1">
      <alignment horizontal="center"/>
      <protection locked="0"/>
    </xf>
    <xf numFmtId="0" fontId="6" fillId="4" borderId="4" xfId="0" applyFont="1" applyFill="1" applyBorder="1" applyAlignment="1" applyProtection="1">
      <alignment horizontal="center"/>
      <protection locked="0"/>
    </xf>
    <xf numFmtId="38" fontId="6" fillId="4" borderId="1" xfId="0" applyNumberFormat="1" applyFont="1" applyFill="1" applyBorder="1" applyAlignment="1" applyProtection="1">
      <alignment horizontal="center"/>
      <protection locked="0"/>
    </xf>
    <xf numFmtId="0" fontId="6" fillId="4" borderId="6" xfId="0" applyFont="1" applyFill="1" applyBorder="1" applyAlignment="1" applyProtection="1">
      <alignment horizontal="center"/>
      <protection locked="0"/>
    </xf>
    <xf numFmtId="0" fontId="4" fillId="4" borderId="1" xfId="0" applyFont="1" applyFill="1" applyBorder="1" applyAlignment="1" applyProtection="1">
      <alignment horizontal="center"/>
      <protection locked="0"/>
    </xf>
    <xf numFmtId="0" fontId="6" fillId="4" borderId="9" xfId="0" applyFont="1" applyFill="1" applyBorder="1" applyAlignment="1" applyProtection="1">
      <alignment horizontal="center"/>
      <protection locked="0"/>
    </xf>
    <xf numFmtId="0" fontId="6" fillId="4" borderId="15" xfId="0" applyFont="1" applyFill="1" applyBorder="1" applyAlignment="1" applyProtection="1">
      <alignment horizontal="center"/>
      <protection locked="0"/>
    </xf>
    <xf numFmtId="0" fontId="30" fillId="4" borderId="15" xfId="0" applyFont="1" applyFill="1" applyBorder="1" applyProtection="1">
      <protection locked="0"/>
    </xf>
    <xf numFmtId="38" fontId="30" fillId="4" borderId="26" xfId="2" applyNumberFormat="1" applyFont="1" applyFill="1" applyBorder="1" applyAlignment="1" applyProtection="1">
      <alignment horizontal="center"/>
      <protection locked="0"/>
    </xf>
    <xf numFmtId="0" fontId="30" fillId="4" borderId="27" xfId="0" applyFont="1" applyFill="1" applyBorder="1" applyAlignment="1" applyProtection="1">
      <alignment horizontal="center"/>
      <protection locked="0"/>
    </xf>
    <xf numFmtId="0" fontId="5" fillId="2" borderId="28" xfId="0" applyFont="1" applyFill="1" applyBorder="1" applyAlignment="1" applyProtection="1">
      <alignment horizontal="center"/>
      <protection hidden="1"/>
    </xf>
    <xf numFmtId="0" fontId="9" fillId="3" borderId="8" xfId="0" applyFont="1" applyFill="1" applyBorder="1" applyAlignment="1" applyProtection="1">
      <alignment horizontal="center"/>
      <protection hidden="1"/>
    </xf>
    <xf numFmtId="0" fontId="5" fillId="3" borderId="8" xfId="0" applyFont="1" applyFill="1" applyBorder="1" applyAlignment="1" applyProtection="1">
      <alignment horizontal="left"/>
      <protection hidden="1"/>
    </xf>
    <xf numFmtId="0" fontId="30" fillId="4" borderId="3" xfId="0" applyFont="1" applyFill="1" applyBorder="1" applyProtection="1">
      <protection locked="0"/>
    </xf>
    <xf numFmtId="38" fontId="30" fillId="4" borderId="29" xfId="2" applyNumberFormat="1" applyFont="1" applyFill="1" applyBorder="1" applyAlignment="1" applyProtection="1">
      <alignment horizontal="center"/>
      <protection locked="0"/>
    </xf>
    <xf numFmtId="38" fontId="6" fillId="4" borderId="3" xfId="2" applyNumberFormat="1" applyFont="1" applyFill="1" applyBorder="1" applyAlignment="1" applyProtection="1">
      <alignment horizontal="center"/>
      <protection locked="0"/>
    </xf>
    <xf numFmtId="0" fontId="4" fillId="4" borderId="1" xfId="0" applyFont="1" applyFill="1" applyBorder="1" applyAlignment="1" applyProtection="1">
      <alignment horizontal="left"/>
      <protection locked="0"/>
    </xf>
    <xf numFmtId="0" fontId="6" fillId="4" borderId="1" xfId="0" applyFont="1" applyFill="1" applyBorder="1" applyAlignment="1" applyProtection="1">
      <alignment horizontal="left"/>
      <protection locked="0"/>
    </xf>
    <xf numFmtId="38" fontId="6" fillId="4" borderId="30" xfId="2" applyNumberFormat="1" applyFont="1" applyFill="1" applyBorder="1" applyAlignment="1" applyProtection="1">
      <alignment horizontal="center"/>
      <protection locked="0"/>
    </xf>
    <xf numFmtId="0" fontId="6" fillId="2" borderId="28" xfId="0" applyFont="1" applyFill="1" applyBorder="1" applyAlignment="1" applyProtection="1">
      <alignment horizontal="center"/>
      <protection hidden="1"/>
    </xf>
    <xf numFmtId="0" fontId="5" fillId="4" borderId="18" xfId="0" applyFont="1" applyFill="1" applyBorder="1" applyProtection="1">
      <protection locked="0"/>
    </xf>
    <xf numFmtId="0" fontId="5" fillId="4" borderId="30" xfId="0" applyFont="1" applyFill="1" applyBorder="1" applyProtection="1">
      <protection locked="0"/>
    </xf>
    <xf numFmtId="0" fontId="30" fillId="4" borderId="18" xfId="0" applyFont="1" applyFill="1" applyBorder="1" applyProtection="1">
      <protection locked="0"/>
    </xf>
    <xf numFmtId="3" fontId="30" fillId="4" borderId="18" xfId="0" applyNumberFormat="1" applyFont="1" applyFill="1" applyBorder="1" applyAlignment="1" applyProtection="1">
      <alignment horizontal="right"/>
      <protection locked="0"/>
    </xf>
    <xf numFmtId="3" fontId="4" fillId="4" borderId="2" xfId="4" applyNumberFormat="1" applyFont="1" applyFill="1" applyBorder="1" applyAlignment="1" applyProtection="1">
      <alignment horizontal="right"/>
      <protection locked="0"/>
    </xf>
    <xf numFmtId="3" fontId="4" fillId="4" borderId="3" xfId="4" applyNumberFormat="1" applyFont="1" applyFill="1" applyBorder="1" applyAlignment="1" applyProtection="1">
      <alignment horizontal="right"/>
      <protection locked="0"/>
    </xf>
    <xf numFmtId="3" fontId="6" fillId="4" borderId="3" xfId="4" applyNumberFormat="1" applyFont="1" applyFill="1" applyBorder="1" applyAlignment="1" applyProtection="1">
      <alignment horizontal="right"/>
      <protection locked="0"/>
    </xf>
    <xf numFmtId="3" fontId="6" fillId="4" borderId="4" xfId="4" applyNumberFormat="1" applyFont="1" applyFill="1" applyBorder="1" applyAlignment="1" applyProtection="1">
      <alignment horizontal="right"/>
      <protection locked="0"/>
    </xf>
    <xf numFmtId="3" fontId="4" fillId="4" borderId="5" xfId="4" applyNumberFormat="1" applyFont="1" applyFill="1" applyBorder="1" applyAlignment="1" applyProtection="1">
      <alignment horizontal="right"/>
      <protection locked="0"/>
    </xf>
    <xf numFmtId="3" fontId="4" fillId="4" borderId="1" xfId="4" applyNumberFormat="1" applyFont="1" applyFill="1" applyBorder="1" applyAlignment="1" applyProtection="1">
      <alignment horizontal="right"/>
      <protection locked="0"/>
    </xf>
    <xf numFmtId="3" fontId="6" fillId="4" borderId="1" xfId="4" applyNumberFormat="1" applyFont="1" applyFill="1" applyBorder="1" applyAlignment="1" applyProtection="1">
      <alignment horizontal="right"/>
      <protection locked="0"/>
    </xf>
    <xf numFmtId="3" fontId="6" fillId="4" borderId="6" xfId="4" applyNumberFormat="1" applyFont="1" applyFill="1" applyBorder="1" applyAlignment="1" applyProtection="1">
      <alignment horizontal="right"/>
      <protection locked="0"/>
    </xf>
    <xf numFmtId="0" fontId="4" fillId="4" borderId="18" xfId="0" applyFont="1" applyFill="1" applyBorder="1" applyProtection="1">
      <protection locked="0"/>
    </xf>
    <xf numFmtId="3" fontId="4" fillId="4" borderId="18" xfId="0" applyNumberFormat="1" applyFont="1" applyFill="1" applyBorder="1" applyAlignment="1" applyProtection="1">
      <alignment horizontal="right"/>
      <protection locked="0"/>
    </xf>
    <xf numFmtId="0" fontId="6" fillId="4" borderId="18" xfId="0" applyFont="1" applyFill="1" applyBorder="1" applyProtection="1">
      <protection locked="0"/>
    </xf>
    <xf numFmtId="3" fontId="6" fillId="4" borderId="18" xfId="0" applyNumberFormat="1" applyFont="1" applyFill="1" applyBorder="1" applyAlignment="1" applyProtection="1">
      <alignment horizontal="right"/>
      <protection locked="0"/>
    </xf>
    <xf numFmtId="3" fontId="6" fillId="4" borderId="5" xfId="4" applyNumberFormat="1" applyFont="1" applyFill="1" applyBorder="1" applyAlignment="1" applyProtection="1">
      <alignment horizontal="right"/>
      <protection locked="0"/>
    </xf>
    <xf numFmtId="3" fontId="6" fillId="4" borderId="7" xfId="4" applyNumberFormat="1" applyFont="1" applyFill="1" applyBorder="1" applyAlignment="1" applyProtection="1">
      <alignment horizontal="right"/>
      <protection locked="0"/>
    </xf>
    <xf numFmtId="3" fontId="6" fillId="4" borderId="8" xfId="4" applyNumberFormat="1" applyFont="1" applyFill="1" applyBorder="1" applyAlignment="1" applyProtection="1">
      <alignment horizontal="right"/>
      <protection locked="0"/>
    </xf>
    <xf numFmtId="3" fontId="6" fillId="4" borderId="9" xfId="4" applyNumberFormat="1" applyFont="1" applyFill="1" applyBorder="1" applyAlignment="1" applyProtection="1">
      <alignment horizontal="right"/>
      <protection locked="0"/>
    </xf>
    <xf numFmtId="0" fontId="30" fillId="4" borderId="1" xfId="0" applyFont="1" applyFill="1" applyBorder="1" applyAlignment="1" applyProtection="1">
      <alignment horizontal="left"/>
      <protection locked="0"/>
    </xf>
    <xf numFmtId="3" fontId="30" fillId="4" borderId="2" xfId="4" applyNumberFormat="1" applyFont="1" applyFill="1" applyBorder="1" applyAlignment="1" applyProtection="1">
      <alignment horizontal="right"/>
      <protection locked="0"/>
    </xf>
    <xf numFmtId="3" fontId="30" fillId="4" borderId="5" xfId="4" applyNumberFormat="1" applyFont="1" applyFill="1" applyBorder="1" applyAlignment="1" applyProtection="1">
      <alignment horizontal="right"/>
      <protection locked="0"/>
    </xf>
    <xf numFmtId="3" fontId="6" fillId="4" borderId="1" xfId="0" applyNumberFormat="1" applyFont="1" applyFill="1" applyBorder="1" applyAlignment="1" applyProtection="1">
      <alignment horizontal="left"/>
      <protection locked="0"/>
    </xf>
    <xf numFmtId="3" fontId="6" fillId="4" borderId="1" xfId="0" applyNumberFormat="1" applyFont="1" applyFill="1" applyBorder="1" applyAlignment="1" applyProtection="1">
      <alignment horizontal="right"/>
      <protection locked="0"/>
    </xf>
    <xf numFmtId="3" fontId="6" fillId="4" borderId="8" xfId="0" applyNumberFormat="1" applyFont="1" applyFill="1" applyBorder="1" applyAlignment="1" applyProtection="1">
      <alignment horizontal="right"/>
      <protection locked="0"/>
    </xf>
    <xf numFmtId="3" fontId="6" fillId="4" borderId="9" xfId="0" applyNumberFormat="1" applyFont="1" applyFill="1" applyBorder="1" applyAlignment="1" applyProtection="1">
      <alignment horizontal="right"/>
      <protection locked="0"/>
    </xf>
    <xf numFmtId="0" fontId="30" fillId="4" borderId="15" xfId="0" applyFont="1" applyFill="1" applyBorder="1" applyAlignment="1" applyProtection="1">
      <alignment horizontal="left"/>
      <protection locked="0"/>
    </xf>
    <xf numFmtId="3" fontId="30" fillId="4" borderId="26" xfId="0" applyNumberFormat="1" applyFont="1" applyFill="1" applyBorder="1" applyAlignment="1" applyProtection="1">
      <alignment horizontal="right"/>
      <protection locked="0"/>
    </xf>
    <xf numFmtId="0" fontId="6" fillId="0" borderId="28" xfId="0" applyFont="1" applyBorder="1" applyAlignment="1" applyProtection="1">
      <alignment horizontal="center"/>
      <protection hidden="1"/>
    </xf>
    <xf numFmtId="0" fontId="14" fillId="4" borderId="1" xfId="0" applyFont="1" applyFill="1" applyBorder="1" applyProtection="1">
      <protection locked="0"/>
    </xf>
    <xf numFmtId="10" fontId="6" fillId="4" borderId="1" xfId="8" applyNumberFormat="1" applyFont="1" applyFill="1" applyBorder="1" applyProtection="1">
      <protection locked="0"/>
    </xf>
    <xf numFmtId="3" fontId="4" fillId="4" borderId="1" xfId="0" applyNumberFormat="1" applyFont="1" applyFill="1" applyBorder="1" applyProtection="1">
      <protection locked="0"/>
    </xf>
    <xf numFmtId="9" fontId="4" fillId="2" borderId="1" xfId="8" applyFont="1" applyFill="1" applyBorder="1" applyProtection="1">
      <protection locked="0"/>
    </xf>
    <xf numFmtId="174" fontId="4" fillId="4" borderId="1" xfId="6" applyNumberFormat="1" applyFont="1" applyFill="1" applyBorder="1" applyProtection="1">
      <protection locked="0"/>
    </xf>
    <xf numFmtId="169" fontId="4" fillId="4" borderId="1" xfId="8" applyNumberFormat="1" applyFont="1" applyFill="1" applyBorder="1" applyProtection="1">
      <protection locked="0"/>
    </xf>
    <xf numFmtId="0" fontId="4" fillId="0" borderId="0" xfId="6" applyFont="1" applyProtection="1">
      <protection hidden="1"/>
    </xf>
    <xf numFmtId="0" fontId="13" fillId="3" borderId="1" xfId="6" applyFont="1" applyFill="1" applyBorder="1" applyAlignment="1" applyProtection="1">
      <alignment horizontal="center"/>
      <protection hidden="1"/>
    </xf>
    <xf numFmtId="1" fontId="13" fillId="3" borderId="1" xfId="6" applyNumberFormat="1" applyFont="1" applyFill="1" applyBorder="1" applyAlignment="1" applyProtection="1">
      <alignment horizontal="center"/>
      <protection hidden="1"/>
    </xf>
    <xf numFmtId="0" fontId="13" fillId="5" borderId="1" xfId="6" applyFont="1" applyFill="1" applyBorder="1" applyAlignment="1" applyProtection="1">
      <alignment horizontal="center"/>
      <protection hidden="1"/>
    </xf>
    <xf numFmtId="169" fontId="13" fillId="5" borderId="1" xfId="8" applyNumberFormat="1" applyFont="1" applyFill="1" applyBorder="1" applyAlignment="1" applyProtection="1">
      <alignment horizontal="center"/>
      <protection hidden="1"/>
    </xf>
    <xf numFmtId="0" fontId="25" fillId="5" borderId="1" xfId="6" applyFont="1" applyFill="1" applyBorder="1" applyAlignment="1" applyProtection="1">
      <alignment horizontal="center"/>
      <protection hidden="1"/>
    </xf>
    <xf numFmtId="3" fontId="25" fillId="5" borderId="1" xfId="6" applyNumberFormat="1" applyFont="1" applyFill="1" applyBorder="1" applyAlignment="1" applyProtection="1">
      <alignment horizontal="right"/>
      <protection hidden="1"/>
    </xf>
    <xf numFmtId="0" fontId="18" fillId="0" borderId="0" xfId="6" applyFont="1" applyProtection="1">
      <protection hidden="1"/>
    </xf>
    <xf numFmtId="0" fontId="13" fillId="3" borderId="1" xfId="6" applyFont="1" applyFill="1" applyBorder="1" applyAlignment="1" applyProtection="1">
      <alignment horizontal="right"/>
      <protection hidden="1"/>
    </xf>
    <xf numFmtId="3" fontId="13" fillId="3" borderId="1" xfId="6" applyNumberFormat="1" applyFont="1" applyFill="1" applyBorder="1" applyAlignment="1" applyProtection="1">
      <alignment horizontal="right"/>
      <protection hidden="1"/>
    </xf>
    <xf numFmtId="0" fontId="4" fillId="3" borderId="1" xfId="6" applyFont="1" applyFill="1" applyBorder="1" applyAlignment="1" applyProtection="1">
      <alignment horizontal="center"/>
      <protection hidden="1"/>
    </xf>
    <xf numFmtId="0" fontId="4" fillId="2" borderId="0" xfId="6" applyFont="1" applyFill="1" applyProtection="1">
      <protection hidden="1"/>
    </xf>
    <xf numFmtId="3" fontId="13" fillId="2" borderId="0" xfId="6" applyNumberFormat="1" applyFont="1" applyFill="1" applyBorder="1" applyAlignment="1" applyProtection="1">
      <alignment horizontal="right"/>
      <protection hidden="1"/>
    </xf>
    <xf numFmtId="3" fontId="14" fillId="3" borderId="1" xfId="6" applyNumberFormat="1" applyFont="1" applyFill="1" applyBorder="1" applyProtection="1">
      <protection hidden="1"/>
    </xf>
    <xf numFmtId="3" fontId="14" fillId="3" borderId="1" xfId="6" applyNumberFormat="1" applyFont="1" applyFill="1" applyBorder="1" applyAlignment="1" applyProtection="1">
      <alignment horizontal="center"/>
      <protection hidden="1"/>
    </xf>
    <xf numFmtId="0" fontId="30" fillId="3" borderId="1" xfId="6" applyFont="1" applyFill="1" applyBorder="1" applyProtection="1">
      <protection hidden="1"/>
    </xf>
    <xf numFmtId="0" fontId="6" fillId="0" borderId="1" xfId="6" applyFont="1" applyFill="1" applyBorder="1" applyAlignment="1" applyProtection="1">
      <alignment horizontal="center"/>
      <protection hidden="1"/>
    </xf>
    <xf numFmtId="3" fontId="4" fillId="0" borderId="1" xfId="6" applyNumberFormat="1" applyFont="1" applyFill="1" applyBorder="1" applyProtection="1">
      <protection hidden="1"/>
    </xf>
    <xf numFmtId="174" fontId="4" fillId="0" borderId="1" xfId="6" applyNumberFormat="1" applyFont="1" applyFill="1" applyBorder="1" applyProtection="1">
      <protection hidden="1"/>
    </xf>
    <xf numFmtId="0" fontId="4" fillId="0" borderId="1" xfId="6" applyFont="1" applyFill="1" applyBorder="1" applyProtection="1">
      <protection hidden="1"/>
    </xf>
    <xf numFmtId="9" fontId="6" fillId="0" borderId="1" xfId="6" applyNumberFormat="1" applyFont="1" applyFill="1" applyBorder="1" applyAlignment="1" applyProtection="1">
      <alignment horizontal="center"/>
      <protection hidden="1"/>
    </xf>
    <xf numFmtId="174" fontId="4" fillId="2" borderId="1" xfId="6" applyNumberFormat="1" applyFont="1" applyFill="1" applyBorder="1" applyProtection="1">
      <protection hidden="1"/>
    </xf>
    <xf numFmtId="3" fontId="4" fillId="2" borderId="1" xfId="6" applyNumberFormat="1" applyFont="1" applyFill="1" applyBorder="1" applyProtection="1">
      <protection hidden="1"/>
    </xf>
    <xf numFmtId="0" fontId="30" fillId="0" borderId="1" xfId="6" applyFont="1" applyFill="1" applyBorder="1" applyProtection="1">
      <protection hidden="1"/>
    </xf>
    <xf numFmtId="3" fontId="14" fillId="0" borderId="1" xfId="6" applyNumberFormat="1" applyFont="1" applyFill="1" applyBorder="1" applyProtection="1">
      <protection hidden="1"/>
    </xf>
    <xf numFmtId="174" fontId="30" fillId="0" borderId="1" xfId="6" applyNumberFormat="1" applyFont="1" applyFill="1" applyBorder="1" applyProtection="1">
      <protection hidden="1"/>
    </xf>
    <xf numFmtId="9" fontId="4" fillId="0" borderId="1" xfId="6" applyNumberFormat="1" applyFont="1" applyFill="1" applyBorder="1" applyAlignment="1" applyProtection="1">
      <alignment horizontal="center"/>
      <protection hidden="1"/>
    </xf>
    <xf numFmtId="9" fontId="30" fillId="0" borderId="1" xfId="6" applyNumberFormat="1" applyFont="1" applyFill="1" applyBorder="1" applyAlignment="1" applyProtection="1">
      <alignment horizontal="center"/>
      <protection hidden="1"/>
    </xf>
    <xf numFmtId="0" fontId="4" fillId="0" borderId="1" xfId="6" applyFont="1" applyFill="1" applyBorder="1" applyAlignment="1" applyProtection="1">
      <alignment horizontal="center"/>
      <protection hidden="1"/>
    </xf>
    <xf numFmtId="0" fontId="4" fillId="0" borderId="0" xfId="6" applyFont="1" applyFill="1" applyBorder="1" applyProtection="1">
      <protection hidden="1"/>
    </xf>
    <xf numFmtId="3" fontId="4" fillId="0" borderId="0" xfId="6" applyNumberFormat="1" applyFont="1" applyFill="1" applyBorder="1" applyProtection="1">
      <protection hidden="1"/>
    </xf>
    <xf numFmtId="169" fontId="13" fillId="3" borderId="1" xfId="8" applyNumberFormat="1" applyFont="1" applyFill="1" applyBorder="1" applyAlignment="1" applyProtection="1">
      <alignment horizontal="center"/>
      <protection hidden="1"/>
    </xf>
    <xf numFmtId="9" fontId="13" fillId="5" borderId="1" xfId="8" applyNumberFormat="1" applyFont="1" applyFill="1" applyBorder="1" applyAlignment="1" applyProtection="1">
      <alignment horizontal="center"/>
      <protection hidden="1"/>
    </xf>
    <xf numFmtId="0" fontId="19" fillId="0" borderId="0" xfId="6" applyFont="1" applyProtection="1">
      <protection hidden="1"/>
    </xf>
    <xf numFmtId="169" fontId="21" fillId="0" borderId="0" xfId="8" applyNumberFormat="1" applyFont="1" applyProtection="1">
      <protection hidden="1"/>
    </xf>
    <xf numFmtId="0" fontId="21" fillId="0" borderId="0" xfId="6" applyFont="1" applyProtection="1">
      <protection hidden="1"/>
    </xf>
    <xf numFmtId="3" fontId="13" fillId="3" borderId="1" xfId="6" applyNumberFormat="1" applyFont="1" applyFill="1" applyBorder="1" applyProtection="1">
      <protection hidden="1"/>
    </xf>
    <xf numFmtId="3" fontId="13" fillId="3" borderId="1" xfId="6" applyNumberFormat="1" applyFont="1" applyFill="1" applyBorder="1" applyAlignment="1" applyProtection="1">
      <alignment horizontal="center"/>
      <protection hidden="1"/>
    </xf>
    <xf numFmtId="0" fontId="4" fillId="3" borderId="0" xfId="6" applyFont="1" applyFill="1" applyProtection="1">
      <protection hidden="1"/>
    </xf>
    <xf numFmtId="0" fontId="13" fillId="0" borderId="1" xfId="6" applyFont="1" applyFill="1" applyBorder="1" applyAlignment="1" applyProtection="1">
      <alignment horizontal="center"/>
      <protection hidden="1"/>
    </xf>
    <xf numFmtId="4" fontId="4" fillId="2" borderId="1" xfId="6" applyNumberFormat="1" applyFont="1" applyFill="1" applyBorder="1" applyProtection="1">
      <protection hidden="1"/>
    </xf>
    <xf numFmtId="169" fontId="4" fillId="2" borderId="1" xfId="8" applyNumberFormat="1" applyFont="1" applyFill="1" applyBorder="1" applyProtection="1">
      <protection hidden="1"/>
    </xf>
    <xf numFmtId="0" fontId="14" fillId="2" borderId="1" xfId="6" applyFont="1" applyFill="1" applyBorder="1" applyProtection="1">
      <protection hidden="1"/>
    </xf>
    <xf numFmtId="3" fontId="14" fillId="2" borderId="1" xfId="6" applyNumberFormat="1" applyFont="1" applyFill="1" applyBorder="1" applyProtection="1">
      <protection hidden="1"/>
    </xf>
    <xf numFmtId="0" fontId="4" fillId="0" borderId="0" xfId="6" applyFont="1" applyBorder="1" applyProtection="1">
      <protection hidden="1"/>
    </xf>
    <xf numFmtId="0" fontId="13" fillId="0" borderId="0" xfId="6" applyFont="1" applyFill="1" applyBorder="1" applyAlignment="1" applyProtection="1">
      <protection hidden="1"/>
    </xf>
    <xf numFmtId="1" fontId="13" fillId="0" borderId="0" xfId="6" applyNumberFormat="1" applyFont="1" applyFill="1" applyBorder="1" applyAlignment="1" applyProtection="1">
      <protection hidden="1"/>
    </xf>
    <xf numFmtId="9" fontId="13" fillId="0" borderId="0" xfId="8" applyFont="1" applyFill="1" applyBorder="1" applyAlignment="1" applyProtection="1">
      <alignment horizontal="center"/>
      <protection hidden="1"/>
    </xf>
    <xf numFmtId="1" fontId="13" fillId="0" borderId="0" xfId="6" applyNumberFormat="1" applyFont="1" applyFill="1" applyBorder="1" applyAlignment="1" applyProtection="1">
      <alignment horizontal="center"/>
      <protection hidden="1"/>
    </xf>
    <xf numFmtId="1" fontId="19" fillId="0" borderId="0" xfId="6" applyNumberFormat="1" applyFont="1" applyProtection="1">
      <protection hidden="1"/>
    </xf>
    <xf numFmtId="9" fontId="19" fillId="0" borderId="0" xfId="8" applyFont="1" applyProtection="1">
      <protection hidden="1"/>
    </xf>
    <xf numFmtId="166" fontId="19" fillId="0" borderId="0" xfId="6" applyNumberFormat="1" applyFont="1" applyProtection="1">
      <protection hidden="1"/>
    </xf>
    <xf numFmtId="166" fontId="21" fillId="0" borderId="0" xfId="6" applyNumberFormat="1" applyFont="1" applyProtection="1">
      <protection hidden="1"/>
    </xf>
    <xf numFmtId="3" fontId="21" fillId="0" borderId="0" xfId="6" applyNumberFormat="1" applyFont="1" applyProtection="1">
      <protection hidden="1"/>
    </xf>
    <xf numFmtId="10" fontId="21" fillId="0" borderId="0" xfId="6" applyNumberFormat="1" applyFont="1" applyProtection="1">
      <protection hidden="1"/>
    </xf>
    <xf numFmtId="10" fontId="4" fillId="0" borderId="0" xfId="6" applyNumberFormat="1" applyFont="1" applyProtection="1">
      <protection hidden="1"/>
    </xf>
    <xf numFmtId="166" fontId="4" fillId="0" borderId="0" xfId="6" applyNumberFormat="1" applyFont="1" applyProtection="1">
      <protection hidden="1"/>
    </xf>
    <xf numFmtId="167" fontId="4" fillId="0" borderId="0" xfId="6" applyNumberFormat="1" applyFont="1" applyProtection="1">
      <protection hidden="1"/>
    </xf>
    <xf numFmtId="9" fontId="4" fillId="0" borderId="0" xfId="6" applyNumberFormat="1" applyFont="1" applyProtection="1">
      <protection hidden="1"/>
    </xf>
    <xf numFmtId="38" fontId="4" fillId="0" borderId="0" xfId="6" applyNumberFormat="1" applyFont="1" applyProtection="1">
      <protection hidden="1"/>
    </xf>
    <xf numFmtId="40" fontId="4" fillId="0" borderId="0" xfId="6" applyNumberFormat="1" applyFont="1" applyProtection="1">
      <protection hidden="1"/>
    </xf>
    <xf numFmtId="4" fontId="4" fillId="4" borderId="1" xfId="7" applyNumberFormat="1" applyFont="1" applyFill="1" applyBorder="1" applyAlignment="1" applyProtection="1">
      <alignment horizontal="left" vertical="center" wrapText="1"/>
      <protection locked="0"/>
    </xf>
    <xf numFmtId="38" fontId="4" fillId="4" borderId="1" xfId="2" applyNumberFormat="1" applyFont="1" applyFill="1" applyBorder="1" applyAlignment="1" applyProtection="1">
      <alignment horizontal="center"/>
      <protection locked="0"/>
    </xf>
    <xf numFmtId="38" fontId="4" fillId="4" borderId="1" xfId="2" applyNumberFormat="1" applyFont="1" applyFill="1" applyBorder="1" applyAlignment="1" applyProtection="1">
      <alignment horizontal="right"/>
      <protection locked="0"/>
    </xf>
    <xf numFmtId="186" fontId="4" fillId="4" borderId="1" xfId="2" applyNumberFormat="1" applyFont="1" applyFill="1" applyBorder="1" applyAlignment="1" applyProtection="1">
      <alignment horizontal="center"/>
      <protection locked="0"/>
    </xf>
    <xf numFmtId="4" fontId="4" fillId="0" borderId="0" xfId="7" applyNumberFormat="1" applyProtection="1">
      <protection hidden="1"/>
    </xf>
    <xf numFmtId="4" fontId="4" fillId="0" borderId="31" xfId="7" applyNumberFormat="1" applyFill="1" applyBorder="1" applyProtection="1">
      <protection hidden="1"/>
    </xf>
    <xf numFmtId="4" fontId="4" fillId="0" borderId="0" xfId="7" applyNumberFormat="1" applyFont="1" applyProtection="1">
      <protection hidden="1"/>
    </xf>
    <xf numFmtId="4" fontId="4" fillId="5" borderId="32" xfId="7" applyNumberFormat="1" applyFill="1" applyBorder="1" applyProtection="1">
      <protection hidden="1"/>
    </xf>
    <xf numFmtId="4" fontId="4" fillId="5" borderId="33" xfId="7" applyNumberFormat="1" applyFill="1" applyBorder="1" applyProtection="1">
      <protection hidden="1"/>
    </xf>
    <xf numFmtId="4" fontId="4" fillId="5" borderId="34" xfId="7" applyNumberFormat="1" applyFill="1" applyBorder="1" applyProtection="1">
      <protection hidden="1"/>
    </xf>
    <xf numFmtId="4" fontId="4" fillId="5" borderId="35" xfId="7" applyNumberFormat="1" applyFill="1" applyBorder="1" applyProtection="1">
      <protection hidden="1"/>
    </xf>
    <xf numFmtId="4" fontId="4" fillId="5" borderId="0" xfId="7" applyNumberFormat="1" applyFill="1" applyBorder="1" applyProtection="1">
      <protection hidden="1"/>
    </xf>
    <xf numFmtId="4" fontId="4" fillId="5" borderId="36" xfId="7" applyNumberFormat="1" applyFill="1" applyBorder="1" applyProtection="1">
      <protection hidden="1"/>
    </xf>
    <xf numFmtId="4" fontId="13" fillId="3" borderId="1" xfId="7" applyNumberFormat="1" applyFont="1" applyFill="1" applyBorder="1" applyAlignment="1" applyProtection="1">
      <alignment horizontal="center" vertical="top" wrapText="1"/>
      <protection hidden="1"/>
    </xf>
    <xf numFmtId="4" fontId="13" fillId="0" borderId="1" xfId="7" applyNumberFormat="1" applyFont="1" applyFill="1" applyBorder="1" applyAlignment="1" applyProtection="1">
      <alignment horizontal="center" vertical="top" wrapText="1"/>
      <protection hidden="1"/>
    </xf>
    <xf numFmtId="38" fontId="4" fillId="0" borderId="1" xfId="2" applyNumberFormat="1" applyFont="1" applyFill="1" applyBorder="1" applyAlignment="1" applyProtection="1">
      <alignment horizontal="right" vertical="center" wrapText="1"/>
      <protection hidden="1"/>
    </xf>
    <xf numFmtId="38" fontId="4" fillId="3" borderId="1" xfId="2" applyNumberFormat="1" applyFont="1" applyFill="1" applyBorder="1" applyAlignment="1" applyProtection="1">
      <alignment horizontal="right" vertical="center" wrapText="1"/>
      <protection hidden="1"/>
    </xf>
    <xf numFmtId="4" fontId="4" fillId="0" borderId="1" xfId="7" applyNumberFormat="1" applyFont="1" applyFill="1" applyBorder="1" applyAlignment="1" applyProtection="1">
      <alignment horizontal="left" vertical="center" wrapText="1"/>
      <protection hidden="1"/>
    </xf>
    <xf numFmtId="38" fontId="5" fillId="0" borderId="1" xfId="2" applyNumberFormat="1" applyFont="1" applyFill="1" applyBorder="1" applyAlignment="1" applyProtection="1">
      <alignment horizontal="center"/>
      <protection hidden="1"/>
    </xf>
    <xf numFmtId="38" fontId="5" fillId="0" borderId="1" xfId="2" applyNumberFormat="1" applyFont="1" applyFill="1" applyBorder="1" applyAlignment="1" applyProtection="1">
      <alignment horizontal="right"/>
      <protection hidden="1"/>
    </xf>
    <xf numFmtId="38" fontId="5" fillId="0" borderId="1" xfId="2" applyNumberFormat="1" applyFont="1" applyFill="1" applyBorder="1" applyAlignment="1" applyProtection="1">
      <alignment horizontal="right" vertical="center" wrapText="1"/>
      <protection hidden="1"/>
    </xf>
    <xf numFmtId="38" fontId="4" fillId="0" borderId="1" xfId="2" applyNumberFormat="1" applyFont="1" applyFill="1" applyBorder="1" applyAlignment="1" applyProtection="1">
      <alignment horizontal="center"/>
      <protection hidden="1"/>
    </xf>
    <xf numFmtId="38" fontId="4" fillId="0" borderId="1" xfId="2" applyNumberFormat="1" applyFont="1" applyFill="1" applyBorder="1" applyAlignment="1" applyProtection="1">
      <alignment horizontal="right"/>
      <protection hidden="1"/>
    </xf>
    <xf numFmtId="4" fontId="13" fillId="0" borderId="1" xfId="7" applyNumberFormat="1" applyFont="1" applyFill="1" applyBorder="1" applyProtection="1">
      <protection hidden="1"/>
    </xf>
    <xf numFmtId="3" fontId="13" fillId="0" borderId="1" xfId="7" applyNumberFormat="1" applyFont="1" applyFill="1" applyBorder="1" applyProtection="1">
      <protection hidden="1"/>
    </xf>
    <xf numFmtId="38" fontId="5" fillId="3" borderId="1" xfId="2" applyNumberFormat="1" applyFont="1" applyFill="1" applyBorder="1" applyAlignment="1" applyProtection="1">
      <alignment horizontal="right" vertical="center" wrapText="1"/>
      <protection hidden="1"/>
    </xf>
    <xf numFmtId="4" fontId="4" fillId="0" borderId="1" xfId="7" applyNumberFormat="1" applyFont="1" applyFill="1" applyBorder="1" applyProtection="1">
      <protection hidden="1"/>
    </xf>
    <xf numFmtId="38" fontId="13" fillId="0" borderId="1" xfId="2" applyNumberFormat="1" applyFont="1" applyFill="1" applyBorder="1" applyProtection="1">
      <protection hidden="1"/>
    </xf>
    <xf numFmtId="3" fontId="4" fillId="0" borderId="1" xfId="7" applyNumberFormat="1" applyFont="1" applyFill="1" applyBorder="1" applyProtection="1">
      <protection hidden="1"/>
    </xf>
    <xf numFmtId="3" fontId="4" fillId="0" borderId="1" xfId="7" applyNumberFormat="1" applyFont="1" applyBorder="1" applyProtection="1">
      <protection hidden="1"/>
    </xf>
    <xf numFmtId="4" fontId="13" fillId="3" borderId="1" xfId="7" applyNumberFormat="1" applyFont="1" applyFill="1" applyBorder="1" applyProtection="1">
      <protection hidden="1"/>
    </xf>
    <xf numFmtId="3" fontId="13" fillId="3" borderId="1" xfId="7" applyNumberFormat="1" applyFont="1" applyFill="1" applyBorder="1" applyProtection="1">
      <protection hidden="1"/>
    </xf>
    <xf numFmtId="4" fontId="13" fillId="0" borderId="0" xfId="7" applyNumberFormat="1" applyFont="1" applyFill="1" applyBorder="1" applyProtection="1">
      <protection hidden="1"/>
    </xf>
    <xf numFmtId="3" fontId="13" fillId="0" borderId="0" xfId="7" applyNumberFormat="1" applyFont="1" applyFill="1" applyBorder="1" applyProtection="1">
      <protection hidden="1"/>
    </xf>
    <xf numFmtId="4" fontId="4" fillId="0" borderId="0" xfId="7" applyNumberFormat="1" applyBorder="1" applyProtection="1">
      <protection hidden="1"/>
    </xf>
    <xf numFmtId="4" fontId="4" fillId="5" borderId="37" xfId="7" applyNumberFormat="1" applyFill="1" applyBorder="1" applyProtection="1">
      <protection hidden="1"/>
    </xf>
    <xf numFmtId="4" fontId="13" fillId="5" borderId="31" xfId="7" applyNumberFormat="1" applyFont="1" applyFill="1" applyBorder="1" applyProtection="1">
      <protection hidden="1"/>
    </xf>
    <xf numFmtId="3" fontId="13" fillId="5" borderId="31" xfId="7" applyNumberFormat="1" applyFont="1" applyFill="1" applyBorder="1" applyProtection="1">
      <protection hidden="1"/>
    </xf>
    <xf numFmtId="4" fontId="4" fillId="5" borderId="31" xfId="7" applyNumberFormat="1" applyFill="1" applyBorder="1" applyProtection="1">
      <protection hidden="1"/>
    </xf>
    <xf numFmtId="4" fontId="4" fillId="5" borderId="38" xfId="7" applyNumberFormat="1" applyFill="1" applyBorder="1" applyProtection="1">
      <protection hidden="1"/>
    </xf>
    <xf numFmtId="4" fontId="4" fillId="0" borderId="0" xfId="7" applyNumberFormat="1" applyFill="1" applyBorder="1" applyProtection="1">
      <protection hidden="1"/>
    </xf>
    <xf numFmtId="4" fontId="4" fillId="0" borderId="0" xfId="7" applyNumberFormat="1" applyFill="1" applyProtection="1">
      <protection hidden="1"/>
    </xf>
    <xf numFmtId="4" fontId="13" fillId="5" borderId="33" xfId="7" applyNumberFormat="1" applyFont="1" applyFill="1" applyBorder="1" applyProtection="1">
      <protection hidden="1"/>
    </xf>
    <xf numFmtId="3" fontId="13" fillId="5" borderId="33" xfId="7" applyNumberFormat="1" applyFont="1" applyFill="1" applyBorder="1" applyProtection="1">
      <protection hidden="1"/>
    </xf>
    <xf numFmtId="3" fontId="4" fillId="3" borderId="1" xfId="7" applyNumberFormat="1" applyFont="1" applyFill="1" applyBorder="1" applyProtection="1">
      <protection hidden="1"/>
    </xf>
    <xf numFmtId="4" fontId="4" fillId="5" borderId="31" xfId="7" applyNumberFormat="1" applyFont="1" applyFill="1" applyBorder="1" applyProtection="1">
      <protection hidden="1"/>
    </xf>
    <xf numFmtId="4" fontId="4" fillId="2" borderId="0" xfId="7" applyNumberFormat="1" applyFill="1" applyProtection="1">
      <protection hidden="1"/>
    </xf>
    <xf numFmtId="4" fontId="4" fillId="2" borderId="0" xfId="7" applyNumberFormat="1" applyFont="1" applyFill="1" applyBorder="1" applyProtection="1">
      <protection hidden="1"/>
    </xf>
    <xf numFmtId="4" fontId="4" fillId="5" borderId="33" xfId="7" applyNumberFormat="1" applyFont="1" applyFill="1" applyBorder="1" applyProtection="1">
      <protection hidden="1"/>
    </xf>
    <xf numFmtId="4" fontId="5" fillId="5" borderId="36" xfId="7" applyNumberFormat="1" applyFont="1" applyFill="1" applyBorder="1" applyAlignment="1" applyProtection="1">
      <protection hidden="1"/>
    </xf>
    <xf numFmtId="4" fontId="5" fillId="0" borderId="0" xfId="7" applyNumberFormat="1" applyFont="1" applyFill="1" applyBorder="1" applyAlignment="1" applyProtection="1">
      <protection hidden="1"/>
    </xf>
    <xf numFmtId="4" fontId="4" fillId="0" borderId="0" xfId="7" applyNumberFormat="1" applyFont="1" applyBorder="1" applyProtection="1">
      <protection hidden="1"/>
    </xf>
    <xf numFmtId="4" fontId="4" fillId="5" borderId="36" xfId="7" applyNumberFormat="1" applyFont="1" applyFill="1" applyBorder="1" applyProtection="1">
      <protection hidden="1"/>
    </xf>
    <xf numFmtId="38" fontId="4" fillId="0" borderId="0" xfId="2" applyNumberFormat="1" applyFont="1" applyProtection="1">
      <protection hidden="1"/>
    </xf>
    <xf numFmtId="4" fontId="4" fillId="2" borderId="1" xfId="7" applyNumberFormat="1" applyFont="1" applyFill="1" applyBorder="1" applyAlignment="1" applyProtection="1">
      <alignment horizontal="left" vertical="center" wrapText="1"/>
      <protection hidden="1"/>
    </xf>
    <xf numFmtId="4" fontId="5" fillId="5" borderId="35" xfId="7" applyNumberFormat="1" applyFont="1" applyFill="1" applyBorder="1" applyProtection="1">
      <protection hidden="1"/>
    </xf>
    <xf numFmtId="4" fontId="5" fillId="5" borderId="36" xfId="7" applyNumberFormat="1" applyFont="1" applyFill="1" applyBorder="1" applyProtection="1">
      <protection hidden="1"/>
    </xf>
    <xf numFmtId="4" fontId="5" fillId="0" borderId="0" xfId="7" applyNumberFormat="1" applyFont="1" applyProtection="1">
      <protection hidden="1"/>
    </xf>
    <xf numFmtId="38" fontId="4" fillId="3" borderId="1" xfId="2" applyNumberFormat="1" applyFont="1" applyFill="1" applyBorder="1" applyAlignment="1" applyProtection="1">
      <alignment horizontal="center"/>
      <protection hidden="1"/>
    </xf>
    <xf numFmtId="38" fontId="4" fillId="0" borderId="0" xfId="2" applyNumberFormat="1" applyFont="1" applyFill="1" applyBorder="1" applyAlignment="1" applyProtection="1">
      <alignment horizontal="center"/>
      <protection hidden="1"/>
    </xf>
    <xf numFmtId="9" fontId="13" fillId="0" borderId="0" xfId="8" applyFont="1" applyFill="1" applyBorder="1" applyProtection="1">
      <protection hidden="1"/>
    </xf>
    <xf numFmtId="9" fontId="4" fillId="0" borderId="0" xfId="8" applyFont="1" applyFill="1" applyBorder="1" applyAlignment="1" applyProtection="1">
      <alignment horizontal="center"/>
      <protection hidden="1"/>
    </xf>
    <xf numFmtId="4" fontId="5" fillId="5" borderId="32" xfId="7" applyNumberFormat="1" applyFont="1" applyFill="1" applyBorder="1" applyProtection="1">
      <protection hidden="1"/>
    </xf>
    <xf numFmtId="38" fontId="4" fillId="5" borderId="33" xfId="2" applyNumberFormat="1" applyFont="1" applyFill="1" applyBorder="1" applyAlignment="1" applyProtection="1">
      <alignment horizontal="center"/>
      <protection hidden="1"/>
    </xf>
    <xf numFmtId="4" fontId="5" fillId="5" borderId="34" xfId="7" applyNumberFormat="1" applyFont="1" applyFill="1" applyBorder="1" applyProtection="1">
      <protection hidden="1"/>
    </xf>
    <xf numFmtId="4" fontId="5" fillId="0" borderId="0" xfId="7" applyNumberFormat="1" applyFont="1" applyFill="1" applyProtection="1">
      <protection hidden="1"/>
    </xf>
    <xf numFmtId="3" fontId="5" fillId="5" borderId="35" xfId="7" applyNumberFormat="1" applyFont="1" applyFill="1" applyBorder="1" applyProtection="1">
      <protection hidden="1"/>
    </xf>
    <xf numFmtId="3" fontId="5" fillId="5" borderId="36" xfId="7" applyNumberFormat="1" applyFont="1" applyFill="1" applyBorder="1" applyProtection="1">
      <protection hidden="1"/>
    </xf>
    <xf numFmtId="3" fontId="5" fillId="0" borderId="0" xfId="7" applyNumberFormat="1" applyFont="1" applyProtection="1">
      <protection hidden="1"/>
    </xf>
    <xf numFmtId="3" fontId="5" fillId="5" borderId="37" xfId="7" applyNumberFormat="1" applyFont="1" applyFill="1" applyBorder="1" applyProtection="1">
      <protection hidden="1"/>
    </xf>
    <xf numFmtId="3" fontId="5" fillId="5" borderId="38" xfId="7" applyNumberFormat="1" applyFont="1" applyFill="1" applyBorder="1" applyProtection="1">
      <protection hidden="1"/>
    </xf>
    <xf numFmtId="3" fontId="5" fillId="2" borderId="0" xfId="7" applyNumberFormat="1" applyFont="1" applyFill="1" applyProtection="1">
      <protection hidden="1"/>
    </xf>
    <xf numFmtId="3" fontId="13" fillId="2" borderId="0" xfId="7" applyNumberFormat="1" applyFont="1" applyFill="1" applyBorder="1" applyProtection="1">
      <protection hidden="1"/>
    </xf>
    <xf numFmtId="38" fontId="4" fillId="4" borderId="1" xfId="2" applyNumberFormat="1" applyFont="1" applyFill="1" applyBorder="1" applyProtection="1">
      <protection locked="0"/>
    </xf>
    <xf numFmtId="38" fontId="6" fillId="0" borderId="1" xfId="2" applyNumberFormat="1" applyFont="1" applyFill="1" applyBorder="1" applyProtection="1">
      <protection hidden="1"/>
    </xf>
    <xf numFmtId="38" fontId="5" fillId="3" borderId="1" xfId="2" applyNumberFormat="1" applyFont="1" applyFill="1" applyBorder="1" applyAlignment="1" applyProtection="1">
      <alignment horizontal="center"/>
      <protection hidden="1"/>
    </xf>
    <xf numFmtId="38" fontId="6" fillId="0" borderId="1" xfId="2" applyNumberFormat="1" applyFont="1" applyFill="1" applyBorder="1" applyAlignment="1" applyProtection="1">
      <alignment horizontal="center"/>
      <protection hidden="1"/>
    </xf>
    <xf numFmtId="38" fontId="6" fillId="0" borderId="1" xfId="2" applyNumberFormat="1" applyFont="1" applyFill="1" applyBorder="1" applyAlignment="1" applyProtection="1">
      <alignment wrapText="1"/>
      <protection hidden="1"/>
    </xf>
    <xf numFmtId="0" fontId="4" fillId="0" borderId="1" xfId="6" applyFont="1" applyFill="1" applyBorder="1" applyAlignment="1" applyProtection="1">
      <alignment horizontal="left" wrapText="1"/>
      <protection hidden="1"/>
    </xf>
    <xf numFmtId="0" fontId="4" fillId="0" borderId="1" xfId="6" applyFont="1" applyFill="1" applyBorder="1" applyAlignment="1" applyProtection="1">
      <alignment horizontal="left"/>
      <protection hidden="1"/>
    </xf>
    <xf numFmtId="3" fontId="4" fillId="0" borderId="1" xfId="6" applyNumberFormat="1" applyFont="1" applyFill="1" applyBorder="1" applyAlignment="1" applyProtection="1">
      <alignment horizontal="left"/>
      <protection hidden="1"/>
    </xf>
    <xf numFmtId="38" fontId="6" fillId="0" borderId="0" xfId="2" applyNumberFormat="1" applyFont="1" applyFill="1" applyProtection="1">
      <protection hidden="1"/>
    </xf>
    <xf numFmtId="0" fontId="5" fillId="0" borderId="0" xfId="2" applyNumberFormat="1" applyFont="1" applyFill="1" applyBorder="1" applyAlignment="1" applyProtection="1">
      <alignment horizontal="center"/>
      <protection hidden="1"/>
    </xf>
    <xf numFmtId="0" fontId="5" fillId="0" borderId="0" xfId="0" applyFont="1" applyFill="1" applyBorder="1" applyAlignment="1" applyProtection="1">
      <alignment horizontal="left"/>
      <protection hidden="1"/>
    </xf>
    <xf numFmtId="3" fontId="6" fillId="0" borderId="0" xfId="0" applyNumberFormat="1" applyFont="1" applyFill="1" applyBorder="1" applyAlignment="1" applyProtection="1">
      <alignment horizontal="center"/>
      <protection hidden="1"/>
    </xf>
    <xf numFmtId="38" fontId="6" fillId="2" borderId="0" xfId="2" applyNumberFormat="1" applyFont="1" applyFill="1" applyBorder="1" applyProtection="1">
      <protection hidden="1"/>
    </xf>
    <xf numFmtId="0" fontId="5" fillId="3" borderId="1" xfId="2" applyNumberFormat="1" applyFont="1" applyFill="1" applyBorder="1" applyAlignment="1" applyProtection="1">
      <alignment horizontal="center"/>
      <protection hidden="1"/>
    </xf>
    <xf numFmtId="38" fontId="5" fillId="6" borderId="1" xfId="2" applyNumberFormat="1" applyFont="1" applyFill="1" applyBorder="1" applyProtection="1">
      <protection hidden="1"/>
    </xf>
    <xf numFmtId="38" fontId="5" fillId="3" borderId="1" xfId="2" applyNumberFormat="1" applyFont="1" applyFill="1" applyBorder="1" applyProtection="1">
      <protection hidden="1"/>
    </xf>
    <xf numFmtId="0" fontId="5" fillId="0" borderId="1" xfId="0" applyFont="1" applyFill="1" applyBorder="1" applyAlignment="1" applyProtection="1">
      <alignment horizontal="left"/>
      <protection hidden="1"/>
    </xf>
    <xf numFmtId="38" fontId="6" fillId="0" borderId="1" xfId="2" applyNumberFormat="1" applyFont="1" applyBorder="1" applyProtection="1">
      <protection hidden="1"/>
    </xf>
    <xf numFmtId="0" fontId="5" fillId="0" borderId="1" xfId="0" applyFont="1" applyBorder="1" applyAlignment="1" applyProtection="1">
      <alignment horizontal="left"/>
      <protection hidden="1"/>
    </xf>
    <xf numFmtId="38" fontId="5" fillId="0" borderId="1" xfId="2" applyNumberFormat="1" applyFont="1" applyFill="1" applyBorder="1" applyProtection="1">
      <protection hidden="1"/>
    </xf>
    <xf numFmtId="38" fontId="5" fillId="0" borderId="1" xfId="0" applyNumberFormat="1" applyFont="1" applyFill="1" applyBorder="1" applyAlignment="1" applyProtection="1">
      <alignment horizontal="left"/>
      <protection hidden="1"/>
    </xf>
    <xf numFmtId="3" fontId="5" fillId="0" borderId="1" xfId="0" applyNumberFormat="1" applyFont="1" applyFill="1" applyBorder="1" applyAlignment="1" applyProtection="1">
      <alignment horizontal="left"/>
      <protection hidden="1"/>
    </xf>
    <xf numFmtId="169" fontId="6" fillId="0" borderId="1" xfId="8" applyNumberFormat="1" applyFont="1" applyFill="1" applyBorder="1" applyProtection="1">
      <protection hidden="1"/>
    </xf>
    <xf numFmtId="38" fontId="6" fillId="2" borderId="1" xfId="2" applyNumberFormat="1" applyFont="1" applyFill="1" applyBorder="1" applyProtection="1">
      <protection hidden="1"/>
    </xf>
    <xf numFmtId="40" fontId="6" fillId="0" borderId="0" xfId="2" applyNumberFormat="1" applyFont="1" applyProtection="1">
      <protection hidden="1"/>
    </xf>
    <xf numFmtId="169" fontId="6" fillId="2" borderId="1" xfId="8" applyNumberFormat="1" applyFont="1" applyFill="1" applyBorder="1" applyProtection="1">
      <protection hidden="1"/>
    </xf>
    <xf numFmtId="38" fontId="6" fillId="0" borderId="0" xfId="2" applyNumberFormat="1" applyFont="1" applyBorder="1" applyProtection="1">
      <protection hidden="1"/>
    </xf>
    <xf numFmtId="169" fontId="6" fillId="0" borderId="0" xfId="8" applyNumberFormat="1" applyFont="1" applyFill="1" applyBorder="1" applyProtection="1">
      <protection hidden="1"/>
    </xf>
    <xf numFmtId="38" fontId="5" fillId="0" borderId="1" xfId="2" applyNumberFormat="1" applyFont="1" applyBorder="1" applyProtection="1">
      <protection hidden="1"/>
    </xf>
    <xf numFmtId="38" fontId="5" fillId="0" borderId="1" xfId="0" applyNumberFormat="1" applyFont="1" applyBorder="1" applyAlignment="1" applyProtection="1">
      <alignment horizontal="left"/>
      <protection hidden="1"/>
    </xf>
    <xf numFmtId="40" fontId="6" fillId="0" borderId="0" xfId="2" applyFont="1" applyProtection="1">
      <protection hidden="1"/>
    </xf>
    <xf numFmtId="38" fontId="5" fillId="3" borderId="0" xfId="2" applyNumberFormat="1" applyFont="1" applyFill="1" applyAlignment="1" applyProtection="1">
      <alignment horizontal="center"/>
      <protection hidden="1"/>
    </xf>
    <xf numFmtId="181" fontId="6" fillId="4" borderId="1" xfId="0" applyNumberFormat="1" applyFont="1" applyFill="1" applyBorder="1" applyAlignment="1" applyProtection="1">
      <alignment horizontal="center"/>
      <protection locked="0"/>
    </xf>
    <xf numFmtId="0" fontId="5" fillId="0" borderId="0" xfId="0" applyFont="1" applyFill="1" applyBorder="1" applyAlignment="1" applyProtection="1">
      <protection hidden="1"/>
    </xf>
    <xf numFmtId="0" fontId="6" fillId="0" borderId="39" xfId="0" applyFont="1" applyBorder="1" applyProtection="1">
      <protection hidden="1"/>
    </xf>
    <xf numFmtId="0" fontId="6" fillId="0" borderId="40" xfId="0" applyFont="1" applyBorder="1" applyProtection="1">
      <protection hidden="1"/>
    </xf>
    <xf numFmtId="38" fontId="6" fillId="0" borderId="0" xfId="0" applyNumberFormat="1" applyFont="1" applyProtection="1">
      <protection hidden="1"/>
    </xf>
    <xf numFmtId="3" fontId="5" fillId="0" borderId="1" xfId="0" applyNumberFormat="1" applyFont="1" applyFill="1" applyBorder="1" applyAlignment="1" applyProtection="1">
      <alignment horizontal="right"/>
      <protection hidden="1"/>
    </xf>
    <xf numFmtId="3" fontId="6" fillId="0" borderId="0" xfId="0" applyNumberFormat="1" applyFont="1" applyFill="1" applyBorder="1" applyAlignment="1" applyProtection="1">
      <alignment horizontal="right"/>
      <protection hidden="1"/>
    </xf>
    <xf numFmtId="38" fontId="8" fillId="7" borderId="0" xfId="2" applyNumberFormat="1" applyFont="1" applyFill="1" applyAlignment="1" applyProtection="1">
      <alignment horizontal="center"/>
      <protection hidden="1"/>
    </xf>
    <xf numFmtId="0" fontId="0" fillId="0" borderId="0" xfId="0" applyFill="1" applyProtection="1">
      <protection hidden="1"/>
    </xf>
    <xf numFmtId="0" fontId="0" fillId="0" borderId="0" xfId="0" applyAlignment="1" applyProtection="1">
      <alignment horizontal="center"/>
      <protection hidden="1"/>
    </xf>
    <xf numFmtId="0" fontId="0" fillId="2" borderId="0" xfId="0" applyFill="1" applyProtection="1">
      <protection hidden="1"/>
    </xf>
    <xf numFmtId="0" fontId="14" fillId="0" borderId="0" xfId="0" applyFont="1" applyProtection="1">
      <protection hidden="1"/>
    </xf>
    <xf numFmtId="0" fontId="14" fillId="0" borderId="0" xfId="0" applyFont="1" applyFill="1" applyProtection="1">
      <protection hidden="1"/>
    </xf>
    <xf numFmtId="0" fontId="14" fillId="0" borderId="0" xfId="0" applyFont="1" applyAlignment="1" applyProtection="1">
      <alignment horizontal="center"/>
      <protection hidden="1"/>
    </xf>
    <xf numFmtId="3" fontId="6" fillId="0" borderId="1" xfId="0" applyNumberFormat="1" applyFont="1" applyBorder="1" applyAlignment="1" applyProtection="1">
      <alignment horizontal="center"/>
      <protection hidden="1"/>
    </xf>
    <xf numFmtId="3" fontId="14" fillId="0" borderId="0" xfId="0" applyNumberFormat="1" applyFont="1" applyProtection="1">
      <protection hidden="1"/>
    </xf>
    <xf numFmtId="10" fontId="4" fillId="0" borderId="1" xfId="8" applyNumberFormat="1" applyFont="1" applyBorder="1" applyProtection="1">
      <protection hidden="1"/>
    </xf>
    <xf numFmtId="3" fontId="5" fillId="3" borderId="1" xfId="0" applyNumberFormat="1" applyFont="1" applyFill="1" applyBorder="1" applyAlignment="1" applyProtection="1">
      <alignment horizontal="center"/>
      <protection hidden="1"/>
    </xf>
    <xf numFmtId="9" fontId="14" fillId="0" borderId="0" xfId="8" applyFont="1" applyProtection="1">
      <protection hidden="1"/>
    </xf>
    <xf numFmtId="10" fontId="15" fillId="0" borderId="0" xfId="0" applyNumberFormat="1" applyFont="1" applyFill="1" applyBorder="1" applyAlignment="1" applyProtection="1">
      <alignment horizontal="center"/>
      <protection hidden="1"/>
    </xf>
    <xf numFmtId="0" fontId="6" fillId="0" borderId="0" xfId="0" applyFont="1" applyBorder="1" applyAlignment="1" applyProtection="1">
      <alignment horizontal="left"/>
      <protection hidden="1"/>
    </xf>
    <xf numFmtId="38" fontId="4" fillId="0" borderId="0" xfId="2" applyNumberFormat="1" applyFont="1" applyBorder="1" applyAlignment="1" applyProtection="1">
      <alignment horizontal="center"/>
      <protection hidden="1"/>
    </xf>
    <xf numFmtId="0" fontId="4" fillId="0" borderId="1" xfId="5" applyBorder="1" applyProtection="1">
      <protection hidden="1"/>
    </xf>
    <xf numFmtId="182" fontId="4" fillId="0" borderId="1" xfId="3" applyNumberFormat="1" applyBorder="1" applyAlignment="1" applyProtection="1">
      <alignment horizontal="center"/>
      <protection hidden="1"/>
    </xf>
    <xf numFmtId="0" fontId="4" fillId="0" borderId="0" xfId="5" applyProtection="1">
      <protection hidden="1"/>
    </xf>
    <xf numFmtId="0" fontId="4" fillId="0" borderId="0" xfId="5" applyFill="1" applyProtection="1">
      <protection hidden="1"/>
    </xf>
    <xf numFmtId="171" fontId="0" fillId="0" borderId="0" xfId="0" applyNumberFormat="1" applyProtection="1">
      <protection hidden="1"/>
    </xf>
    <xf numFmtId="0" fontId="5" fillId="0" borderId="1" xfId="5" applyFont="1" applyBorder="1" applyAlignment="1" applyProtection="1">
      <alignment horizontal="center"/>
      <protection hidden="1"/>
    </xf>
    <xf numFmtId="0" fontId="5" fillId="0" borderId="1" xfId="5" applyFont="1" applyBorder="1" applyProtection="1">
      <protection hidden="1"/>
    </xf>
    <xf numFmtId="0" fontId="5" fillId="0" borderId="1" xfId="5" applyFont="1" applyFill="1" applyBorder="1" applyProtection="1">
      <protection hidden="1"/>
    </xf>
    <xf numFmtId="0" fontId="4" fillId="0" borderId="1" xfId="5" applyBorder="1" applyAlignment="1" applyProtection="1">
      <alignment horizontal="center"/>
      <protection hidden="1"/>
    </xf>
    <xf numFmtId="10" fontId="4" fillId="0" borderId="1" xfId="8" applyNumberFormat="1" applyFont="1" applyBorder="1" applyAlignment="1" applyProtection="1">
      <alignment horizontal="center"/>
      <protection hidden="1"/>
    </xf>
    <xf numFmtId="10" fontId="4" fillId="0" borderId="1" xfId="5" applyNumberFormat="1" applyBorder="1" applyAlignment="1" applyProtection="1">
      <alignment horizontal="center"/>
      <protection hidden="1"/>
    </xf>
    <xf numFmtId="10" fontId="4" fillId="0" borderId="0" xfId="8" applyNumberFormat="1" applyFont="1" applyProtection="1">
      <protection hidden="1"/>
    </xf>
    <xf numFmtId="0" fontId="4" fillId="0" borderId="0" xfId="5" applyAlignment="1" applyProtection="1">
      <alignment horizontal="center"/>
      <protection hidden="1"/>
    </xf>
    <xf numFmtId="0" fontId="5" fillId="0" borderId="1" xfId="5" applyFont="1" applyFill="1" applyBorder="1" applyAlignment="1" applyProtection="1">
      <alignment horizontal="center"/>
      <protection hidden="1"/>
    </xf>
    <xf numFmtId="164" fontId="4" fillId="0" borderId="1" xfId="5" applyNumberFormat="1" applyBorder="1" applyProtection="1">
      <protection hidden="1"/>
    </xf>
    <xf numFmtId="164" fontId="4" fillId="0" borderId="1" xfId="5" applyNumberFormat="1" applyFill="1" applyBorder="1" applyProtection="1">
      <protection hidden="1"/>
    </xf>
    <xf numFmtId="0" fontId="4" fillId="0" borderId="0" xfId="5" applyBorder="1" applyProtection="1">
      <protection hidden="1"/>
    </xf>
    <xf numFmtId="164" fontId="4" fillId="0" borderId="0" xfId="5" applyNumberFormat="1" applyBorder="1" applyProtection="1">
      <protection hidden="1"/>
    </xf>
    <xf numFmtId="164" fontId="4" fillId="0" borderId="0" xfId="5" applyNumberFormat="1" applyFill="1" applyBorder="1" applyProtection="1">
      <protection hidden="1"/>
    </xf>
    <xf numFmtId="0" fontId="6" fillId="0" borderId="0" xfId="5" applyFont="1" applyBorder="1" applyProtection="1">
      <protection hidden="1"/>
    </xf>
    <xf numFmtId="0" fontId="7" fillId="0" borderId="0" xfId="0" applyFont="1" applyBorder="1" applyProtection="1">
      <protection hidden="1"/>
    </xf>
    <xf numFmtId="0" fontId="0" fillId="0" borderId="0" xfId="0" applyFill="1" applyBorder="1" applyProtection="1">
      <protection hidden="1"/>
    </xf>
    <xf numFmtId="0" fontId="0" fillId="0" borderId="0" xfId="0" applyBorder="1" applyAlignment="1" applyProtection="1">
      <alignment horizontal="center"/>
      <protection hidden="1"/>
    </xf>
    <xf numFmtId="0" fontId="0" fillId="0" borderId="0" xfId="0" applyBorder="1" applyProtection="1">
      <protection hidden="1"/>
    </xf>
    <xf numFmtId="0" fontId="5" fillId="0" borderId="1" xfId="0" applyFont="1" applyFill="1" applyBorder="1" applyAlignment="1" applyProtection="1">
      <alignment horizontal="center" wrapText="1"/>
      <protection hidden="1"/>
    </xf>
    <xf numFmtId="171" fontId="5" fillId="3" borderId="1" xfId="0" applyNumberFormat="1" applyFont="1" applyFill="1" applyBorder="1" applyAlignment="1" applyProtection="1">
      <alignment horizontal="center"/>
      <protection hidden="1"/>
    </xf>
    <xf numFmtId="10" fontId="6" fillId="0" borderId="1" xfId="0" applyNumberFormat="1" applyFont="1" applyBorder="1" applyAlignment="1" applyProtection="1">
      <alignment horizontal="center"/>
      <protection hidden="1"/>
    </xf>
    <xf numFmtId="171" fontId="6" fillId="0" borderId="1" xfId="0" applyNumberFormat="1" applyFont="1" applyBorder="1" applyAlignment="1" applyProtection="1">
      <protection hidden="1"/>
    </xf>
    <xf numFmtId="171" fontId="6" fillId="3" borderId="1" xfId="0" applyNumberFormat="1" applyFont="1" applyFill="1" applyBorder="1" applyAlignment="1" applyProtection="1">
      <alignment horizontal="center"/>
      <protection hidden="1"/>
    </xf>
    <xf numFmtId="171" fontId="6" fillId="3" borderId="1" xfId="0" applyNumberFormat="1" applyFont="1" applyFill="1" applyBorder="1" applyAlignment="1" applyProtection="1">
      <protection hidden="1"/>
    </xf>
    <xf numFmtId="171" fontId="6" fillId="0" borderId="1" xfId="0" applyNumberFormat="1" applyFont="1" applyFill="1" applyBorder="1" applyAlignment="1" applyProtection="1">
      <protection hidden="1"/>
    </xf>
    <xf numFmtId="171" fontId="6" fillId="0" borderId="1" xfId="0" applyNumberFormat="1" applyFont="1" applyBorder="1" applyAlignment="1" applyProtection="1">
      <alignment horizontal="center"/>
      <protection hidden="1"/>
    </xf>
    <xf numFmtId="171" fontId="6" fillId="0" borderId="13" xfId="0" applyNumberFormat="1" applyFont="1" applyBorder="1" applyAlignment="1" applyProtection="1">
      <protection hidden="1"/>
    </xf>
    <xf numFmtId="171" fontId="6" fillId="3" borderId="13" xfId="0" applyNumberFormat="1" applyFont="1" applyFill="1" applyBorder="1" applyAlignment="1" applyProtection="1">
      <protection hidden="1"/>
    </xf>
    <xf numFmtId="0" fontId="6" fillId="3" borderId="13" xfId="0" applyFont="1" applyFill="1" applyBorder="1" applyProtection="1">
      <protection hidden="1"/>
    </xf>
    <xf numFmtId="171" fontId="6" fillId="3" borderId="13" xfId="0" applyNumberFormat="1" applyFont="1" applyFill="1" applyBorder="1" applyAlignment="1" applyProtection="1">
      <alignment horizontal="center"/>
      <protection hidden="1"/>
    </xf>
    <xf numFmtId="171" fontId="6" fillId="0" borderId="13" xfId="0" applyNumberFormat="1" applyFont="1" applyBorder="1" applyAlignment="1" applyProtection="1">
      <alignment horizontal="center"/>
      <protection hidden="1"/>
    </xf>
    <xf numFmtId="0" fontId="6" fillId="0" borderId="0" xfId="0" applyFont="1" applyFill="1" applyProtection="1">
      <protection hidden="1"/>
    </xf>
    <xf numFmtId="171" fontId="5" fillId="3" borderId="2" xfId="0" applyNumberFormat="1" applyFont="1" applyFill="1" applyBorder="1" applyAlignment="1" applyProtection="1">
      <protection hidden="1"/>
    </xf>
    <xf numFmtId="0" fontId="6" fillId="3" borderId="3" xfId="0" applyFont="1" applyFill="1" applyBorder="1" applyProtection="1">
      <protection hidden="1"/>
    </xf>
    <xf numFmtId="171" fontId="5" fillId="3" borderId="3" xfId="0" applyNumberFormat="1" applyFont="1" applyFill="1" applyBorder="1" applyAlignment="1" applyProtection="1">
      <alignment horizontal="left" indent="2"/>
      <protection hidden="1"/>
    </xf>
    <xf numFmtId="171" fontId="5" fillId="3" borderId="5" xfId="0" applyNumberFormat="1" applyFont="1" applyFill="1" applyBorder="1" applyAlignment="1" applyProtection="1">
      <protection hidden="1"/>
    </xf>
    <xf numFmtId="171" fontId="5" fillId="3" borderId="1" xfId="0" applyNumberFormat="1" applyFont="1" applyFill="1" applyBorder="1" applyAlignment="1" applyProtection="1">
      <alignment horizontal="left" indent="2"/>
      <protection hidden="1"/>
    </xf>
    <xf numFmtId="171" fontId="5" fillId="3" borderId="7" xfId="0" applyNumberFormat="1" applyFont="1" applyFill="1" applyBorder="1" applyAlignment="1" applyProtection="1">
      <protection hidden="1"/>
    </xf>
    <xf numFmtId="0" fontId="6" fillId="3" borderId="8" xfId="0" applyFont="1" applyFill="1" applyBorder="1" applyProtection="1">
      <protection hidden="1"/>
    </xf>
    <xf numFmtId="171" fontId="5" fillId="3" borderId="8" xfId="0" applyNumberFormat="1" applyFont="1" applyFill="1" applyBorder="1" applyAlignment="1" applyProtection="1">
      <alignment horizontal="left" indent="2"/>
      <protection hidden="1"/>
    </xf>
    <xf numFmtId="8" fontId="0" fillId="0" borderId="0" xfId="0" applyNumberFormat="1" applyProtection="1">
      <protection hidden="1"/>
    </xf>
    <xf numFmtId="9" fontId="4" fillId="4" borderId="1" xfId="5" applyNumberFormat="1" applyFill="1" applyBorder="1" applyAlignment="1" applyProtection="1">
      <alignment horizontal="center"/>
      <protection locked="0"/>
    </xf>
    <xf numFmtId="10" fontId="4" fillId="4" borderId="1" xfId="5" applyNumberFormat="1" applyFill="1" applyBorder="1" applyAlignment="1" applyProtection="1">
      <alignment horizontal="center"/>
      <protection locked="0"/>
    </xf>
    <xf numFmtId="40" fontId="4" fillId="0" borderId="0" xfId="2" applyFont="1" applyProtection="1">
      <protection hidden="1"/>
    </xf>
    <xf numFmtId="0" fontId="11" fillId="0" borderId="41" xfId="0" applyFont="1" applyFill="1" applyBorder="1" applyAlignment="1" applyProtection="1">
      <alignment horizontal="center"/>
      <protection hidden="1"/>
    </xf>
    <xf numFmtId="1" fontId="11" fillId="0" borderId="42" xfId="2" applyNumberFormat="1" applyFont="1" applyFill="1" applyBorder="1" applyAlignment="1" applyProtection="1">
      <alignment horizontal="center"/>
      <protection hidden="1"/>
    </xf>
    <xf numFmtId="1" fontId="11" fillId="0" borderId="43" xfId="2" applyNumberFormat="1" applyFont="1" applyFill="1" applyBorder="1" applyAlignment="1" applyProtection="1">
      <alignment horizontal="center"/>
      <protection hidden="1"/>
    </xf>
    <xf numFmtId="38" fontId="11" fillId="0" borderId="42" xfId="2" applyNumberFormat="1" applyFont="1" applyFill="1" applyBorder="1" applyAlignment="1" applyProtection="1">
      <alignment horizontal="center"/>
      <protection hidden="1"/>
    </xf>
    <xf numFmtId="38" fontId="11" fillId="0" borderId="43" xfId="2" applyNumberFormat="1" applyFont="1" applyFill="1" applyBorder="1" applyAlignment="1" applyProtection="1">
      <alignment horizontal="center"/>
      <protection hidden="1"/>
    </xf>
    <xf numFmtId="38" fontId="17" fillId="0" borderId="0" xfId="2" applyNumberFormat="1" applyFont="1" applyProtection="1">
      <protection hidden="1"/>
    </xf>
    <xf numFmtId="0" fontId="17" fillId="0" borderId="44" xfId="0" applyFont="1" applyFill="1" applyBorder="1" applyProtection="1">
      <protection hidden="1"/>
    </xf>
    <xf numFmtId="38" fontId="17" fillId="0" borderId="0" xfId="2" applyNumberFormat="1" applyFont="1" applyFill="1" applyBorder="1" applyAlignment="1" applyProtection="1">
      <alignment horizontal="center"/>
      <protection hidden="1"/>
    </xf>
    <xf numFmtId="38" fontId="17" fillId="0" borderId="36" xfId="2" applyNumberFormat="1" applyFont="1" applyFill="1" applyBorder="1" applyAlignment="1" applyProtection="1">
      <alignment horizontal="center"/>
      <protection hidden="1"/>
    </xf>
    <xf numFmtId="38" fontId="24" fillId="0" borderId="0" xfId="2" applyNumberFormat="1" applyFont="1" applyFill="1" applyBorder="1" applyAlignment="1" applyProtection="1">
      <alignment horizontal="center"/>
      <protection hidden="1"/>
    </xf>
    <xf numFmtId="38" fontId="24" fillId="0" borderId="36" xfId="2" applyNumberFormat="1" applyFont="1" applyFill="1" applyBorder="1" applyAlignment="1" applyProtection="1">
      <alignment horizontal="center"/>
      <protection hidden="1"/>
    </xf>
    <xf numFmtId="0" fontId="11" fillId="0" borderId="45" xfId="0" applyFont="1" applyFill="1" applyBorder="1" applyProtection="1">
      <protection hidden="1"/>
    </xf>
    <xf numFmtId="0" fontId="4" fillId="0" borderId="44" xfId="0" applyFont="1" applyFill="1" applyBorder="1" applyProtection="1">
      <protection hidden="1"/>
    </xf>
    <xf numFmtId="0" fontId="4" fillId="0" borderId="32" xfId="0" applyFont="1" applyBorder="1" applyAlignment="1" applyProtection="1">
      <alignment horizontal="center"/>
      <protection hidden="1"/>
    </xf>
    <xf numFmtId="0" fontId="4" fillId="0" borderId="33" xfId="0" applyFont="1" applyBorder="1" applyAlignment="1" applyProtection="1">
      <alignment horizontal="center"/>
      <protection hidden="1"/>
    </xf>
    <xf numFmtId="0" fontId="4" fillId="0" borderId="34" xfId="0" applyFont="1" applyBorder="1" applyAlignment="1" applyProtection="1">
      <alignment horizontal="center"/>
      <protection hidden="1"/>
    </xf>
    <xf numFmtId="0" fontId="17" fillId="0" borderId="44" xfId="6" applyFont="1" applyFill="1" applyBorder="1" applyAlignment="1" applyProtection="1">
      <alignment horizontal="left"/>
      <protection hidden="1"/>
    </xf>
    <xf numFmtId="38" fontId="17" fillId="0" borderId="35" xfId="2" applyNumberFormat="1" applyFont="1" applyFill="1" applyBorder="1" applyAlignment="1" applyProtection="1">
      <alignment horizontal="center"/>
      <protection hidden="1"/>
    </xf>
    <xf numFmtId="38" fontId="17" fillId="0" borderId="37" xfId="2" applyNumberFormat="1" applyFont="1" applyFill="1" applyBorder="1" applyAlignment="1" applyProtection="1">
      <alignment horizontal="center"/>
      <protection hidden="1"/>
    </xf>
    <xf numFmtId="38" fontId="17" fillId="0" borderId="31" xfId="2" applyNumberFormat="1" applyFont="1" applyFill="1" applyBorder="1" applyAlignment="1" applyProtection="1">
      <alignment horizontal="center"/>
      <protection hidden="1"/>
    </xf>
    <xf numFmtId="38" fontId="17" fillId="0" borderId="38" xfId="2" applyNumberFormat="1" applyFont="1" applyFill="1" applyBorder="1" applyAlignment="1" applyProtection="1">
      <alignment horizontal="center"/>
      <protection hidden="1"/>
    </xf>
    <xf numFmtId="38" fontId="17" fillId="0" borderId="32" xfId="2" applyNumberFormat="1" applyFont="1" applyFill="1" applyBorder="1" applyAlignment="1" applyProtection="1">
      <alignment horizontal="center"/>
      <protection hidden="1"/>
    </xf>
    <xf numFmtId="38" fontId="17" fillId="0" borderId="33" xfId="2" applyNumberFormat="1" applyFont="1" applyFill="1" applyBorder="1" applyAlignment="1" applyProtection="1">
      <alignment horizontal="center"/>
      <protection hidden="1"/>
    </xf>
    <xf numFmtId="38" fontId="17" fillId="0" borderId="34" xfId="2" applyNumberFormat="1" applyFont="1" applyFill="1" applyBorder="1" applyAlignment="1" applyProtection="1">
      <alignment horizontal="center"/>
      <protection hidden="1"/>
    </xf>
    <xf numFmtId="38" fontId="17" fillId="0" borderId="44" xfId="0" applyNumberFormat="1" applyFont="1" applyFill="1" applyBorder="1" applyProtection="1">
      <protection hidden="1"/>
    </xf>
    <xf numFmtId="0" fontId="17" fillId="0" borderId="44" xfId="0" applyFont="1" applyFill="1" applyBorder="1" applyAlignment="1" applyProtection="1">
      <alignment horizontal="left"/>
      <protection hidden="1"/>
    </xf>
    <xf numFmtId="0" fontId="11" fillId="0" borderId="45" xfId="0" applyFont="1" applyFill="1" applyBorder="1" applyAlignment="1" applyProtection="1">
      <alignment horizontal="left"/>
      <protection hidden="1"/>
    </xf>
    <xf numFmtId="0" fontId="4" fillId="0" borderId="35" xfId="0" applyFont="1" applyBorder="1" applyProtection="1">
      <protection hidden="1"/>
    </xf>
    <xf numFmtId="40" fontId="4" fillId="0" borderId="32" xfId="2" applyFont="1" applyBorder="1" applyProtection="1">
      <protection hidden="1"/>
    </xf>
    <xf numFmtId="40" fontId="4" fillId="0" borderId="33" xfId="2" applyFont="1" applyBorder="1" applyProtection="1">
      <protection hidden="1"/>
    </xf>
    <xf numFmtId="0" fontId="4" fillId="0" borderId="33" xfId="0" applyFont="1" applyBorder="1" applyProtection="1">
      <protection hidden="1"/>
    </xf>
    <xf numFmtId="0" fontId="4" fillId="0" borderId="34" xfId="0" applyFont="1" applyBorder="1" applyProtection="1">
      <protection hidden="1"/>
    </xf>
    <xf numFmtId="0" fontId="17" fillId="0" borderId="35" xfId="0" applyFont="1" applyFill="1" applyBorder="1" applyProtection="1">
      <protection hidden="1"/>
    </xf>
    <xf numFmtId="0" fontId="17" fillId="0" borderId="37" xfId="0" applyFont="1" applyFill="1" applyBorder="1" applyProtection="1">
      <protection hidden="1"/>
    </xf>
    <xf numFmtId="0" fontId="11" fillId="0" borderId="41" xfId="0" applyFont="1" applyFill="1" applyBorder="1" applyProtection="1">
      <protection hidden="1"/>
    </xf>
    <xf numFmtId="38" fontId="17" fillId="0" borderId="42" xfId="2" applyNumberFormat="1" applyFont="1" applyFill="1" applyBorder="1" applyAlignment="1" applyProtection="1">
      <alignment horizontal="center"/>
      <protection hidden="1"/>
    </xf>
    <xf numFmtId="38" fontId="17" fillId="0" borderId="43" xfId="2" applyNumberFormat="1" applyFont="1" applyFill="1" applyBorder="1" applyAlignment="1" applyProtection="1">
      <alignment horizontal="center"/>
      <protection hidden="1"/>
    </xf>
    <xf numFmtId="40" fontId="17" fillId="0" borderId="0" xfId="2" applyFont="1" applyProtection="1">
      <protection hidden="1"/>
    </xf>
    <xf numFmtId="1" fontId="11" fillId="3" borderId="46" xfId="2" applyNumberFormat="1" applyFont="1" applyFill="1" applyBorder="1" applyAlignment="1" applyProtection="1">
      <alignment horizontal="center"/>
      <protection hidden="1"/>
    </xf>
    <xf numFmtId="1" fontId="11" fillId="3" borderId="47" xfId="2" applyNumberFormat="1" applyFont="1" applyFill="1" applyBorder="1" applyAlignment="1" applyProtection="1">
      <alignment horizontal="center"/>
      <protection hidden="1"/>
    </xf>
    <xf numFmtId="1" fontId="11" fillId="3" borderId="48" xfId="2" applyNumberFormat="1" applyFont="1" applyFill="1" applyBorder="1" applyAlignment="1" applyProtection="1">
      <alignment horizontal="center"/>
      <protection hidden="1"/>
    </xf>
    <xf numFmtId="0" fontId="11" fillId="0" borderId="46" xfId="0" applyFont="1" applyBorder="1" applyProtection="1">
      <protection hidden="1"/>
    </xf>
    <xf numFmtId="0" fontId="11" fillId="0" borderId="47" xfId="0" applyFont="1" applyBorder="1" applyProtection="1">
      <protection hidden="1"/>
    </xf>
    <xf numFmtId="38" fontId="11" fillId="0" borderId="47" xfId="2" applyNumberFormat="1" applyFont="1" applyBorder="1" applyProtection="1">
      <protection hidden="1"/>
    </xf>
    <xf numFmtId="38" fontId="11" fillId="0" borderId="48" xfId="2" applyNumberFormat="1" applyFont="1" applyBorder="1" applyProtection="1">
      <protection hidden="1"/>
    </xf>
    <xf numFmtId="0" fontId="17" fillId="0" borderId="49" xfId="0" applyFont="1" applyBorder="1" applyProtection="1">
      <protection hidden="1"/>
    </xf>
    <xf numFmtId="0" fontId="17" fillId="0" borderId="50" xfId="0" applyFont="1" applyBorder="1" applyProtection="1">
      <protection hidden="1"/>
    </xf>
    <xf numFmtId="38" fontId="17" fillId="0" borderId="50" xfId="2" applyNumberFormat="1" applyFont="1" applyBorder="1" applyProtection="1">
      <protection hidden="1"/>
    </xf>
    <xf numFmtId="38" fontId="17" fillId="0" borderId="51" xfId="2" applyNumberFormat="1" applyFont="1" applyBorder="1" applyProtection="1">
      <protection hidden="1"/>
    </xf>
    <xf numFmtId="0" fontId="17" fillId="0" borderId="52" xfId="0" applyFont="1" applyBorder="1" applyProtection="1">
      <protection hidden="1"/>
    </xf>
    <xf numFmtId="0" fontId="17" fillId="0" borderId="0" xfId="0" applyFont="1" applyBorder="1" applyProtection="1">
      <protection hidden="1"/>
    </xf>
    <xf numFmtId="38" fontId="17" fillId="0" borderId="0" xfId="2" applyNumberFormat="1" applyFont="1" applyBorder="1" applyProtection="1">
      <protection hidden="1"/>
    </xf>
    <xf numFmtId="38" fontId="17" fillId="0" borderId="53" xfId="2" applyNumberFormat="1" applyFont="1" applyBorder="1" applyProtection="1">
      <protection hidden="1"/>
    </xf>
    <xf numFmtId="0" fontId="17" fillId="0" borderId="54" xfId="0" applyFont="1" applyBorder="1" applyProtection="1">
      <protection hidden="1"/>
    </xf>
    <xf numFmtId="0" fontId="17" fillId="0" borderId="28" xfId="0" applyFont="1" applyBorder="1" applyProtection="1">
      <protection hidden="1"/>
    </xf>
    <xf numFmtId="38" fontId="17" fillId="0" borderId="28" xfId="2" applyNumberFormat="1" applyFont="1" applyBorder="1" applyProtection="1">
      <protection hidden="1"/>
    </xf>
    <xf numFmtId="38" fontId="17" fillId="0" borderId="55" xfId="2" applyNumberFormat="1" applyFont="1" applyBorder="1" applyProtection="1">
      <protection hidden="1"/>
    </xf>
    <xf numFmtId="0" fontId="11" fillId="0" borderId="46" xfId="0" applyFont="1" applyFill="1" applyBorder="1" applyProtection="1">
      <protection hidden="1"/>
    </xf>
    <xf numFmtId="0" fontId="11" fillId="0" borderId="47" xfId="0" applyFont="1" applyFill="1" applyBorder="1" applyProtection="1">
      <protection hidden="1"/>
    </xf>
    <xf numFmtId="38" fontId="11" fillId="0" borderId="47" xfId="2" applyNumberFormat="1" applyFont="1" applyFill="1" applyBorder="1" applyProtection="1">
      <protection hidden="1"/>
    </xf>
    <xf numFmtId="179" fontId="5" fillId="0" borderId="1" xfId="2" applyNumberFormat="1" applyFont="1" applyBorder="1" applyAlignment="1" applyProtection="1">
      <protection hidden="1"/>
    </xf>
    <xf numFmtId="0" fontId="17" fillId="0" borderId="0" xfId="0" applyFont="1" applyFill="1" applyBorder="1" applyProtection="1">
      <protection hidden="1"/>
    </xf>
    <xf numFmtId="0" fontId="17" fillId="0" borderId="0" xfId="0" applyFont="1" applyFill="1" applyBorder="1" applyAlignment="1" applyProtection="1">
      <alignment horizontal="left"/>
      <protection hidden="1"/>
    </xf>
    <xf numFmtId="166" fontId="17" fillId="0" borderId="0" xfId="0" applyNumberFormat="1" applyFont="1" applyFill="1" applyBorder="1" applyAlignment="1" applyProtection="1">
      <alignment horizontal="center"/>
      <protection hidden="1"/>
    </xf>
    <xf numFmtId="0" fontId="11" fillId="3" borderId="1" xfId="0" applyFont="1" applyFill="1" applyBorder="1" applyAlignment="1" applyProtection="1">
      <alignment horizontal="left"/>
      <protection hidden="1"/>
    </xf>
    <xf numFmtId="0" fontId="11" fillId="3" borderId="1" xfId="0" applyFont="1" applyFill="1" applyBorder="1" applyAlignment="1" applyProtection="1">
      <alignment horizontal="center"/>
      <protection hidden="1"/>
    </xf>
    <xf numFmtId="0" fontId="11" fillId="3" borderId="11" xfId="0" applyFont="1" applyFill="1" applyBorder="1" applyAlignment="1" applyProtection="1">
      <alignment horizontal="center"/>
      <protection hidden="1"/>
    </xf>
    <xf numFmtId="0" fontId="11" fillId="0" borderId="1" xfId="0" applyFont="1" applyFill="1" applyBorder="1" applyAlignment="1" applyProtection="1">
      <alignment horizontal="left"/>
      <protection hidden="1"/>
    </xf>
    <xf numFmtId="38" fontId="11" fillId="0" borderId="1" xfId="2" applyNumberFormat="1" applyFont="1" applyFill="1" applyBorder="1" applyProtection="1">
      <protection hidden="1"/>
    </xf>
    <xf numFmtId="0" fontId="11" fillId="0" borderId="0" xfId="0" applyFont="1" applyFill="1" applyBorder="1" applyProtection="1">
      <protection hidden="1"/>
    </xf>
    <xf numFmtId="0" fontId="17" fillId="0" borderId="1" xfId="0" applyFont="1" applyFill="1" applyBorder="1" applyAlignment="1" applyProtection="1">
      <alignment horizontal="left"/>
      <protection hidden="1"/>
    </xf>
    <xf numFmtId="38" fontId="17" fillId="0" borderId="1" xfId="2" applyNumberFormat="1" applyFont="1" applyFill="1" applyBorder="1" applyProtection="1">
      <protection hidden="1"/>
    </xf>
    <xf numFmtId="38" fontId="31" fillId="0" borderId="1" xfId="2" applyNumberFormat="1" applyFont="1" applyFill="1" applyBorder="1" applyProtection="1">
      <protection hidden="1"/>
    </xf>
    <xf numFmtId="0" fontId="11" fillId="5" borderId="1" xfId="0" applyFont="1" applyFill="1" applyBorder="1" applyAlignment="1" applyProtection="1">
      <alignment horizontal="left"/>
      <protection hidden="1"/>
    </xf>
    <xf numFmtId="166" fontId="24" fillId="5" borderId="1" xfId="0" applyNumberFormat="1" applyFont="1" applyFill="1" applyBorder="1" applyAlignment="1" applyProtection="1">
      <alignment horizontal="center"/>
      <protection hidden="1"/>
    </xf>
    <xf numFmtId="166" fontId="24" fillId="0" borderId="0" xfId="0" applyNumberFormat="1" applyFont="1" applyFill="1" applyBorder="1" applyAlignment="1" applyProtection="1">
      <alignment horizontal="center"/>
      <protection hidden="1"/>
    </xf>
    <xf numFmtId="38" fontId="11" fillId="5" borderId="1" xfId="2" applyNumberFormat="1" applyFont="1" applyFill="1" applyBorder="1" applyProtection="1">
      <protection hidden="1"/>
    </xf>
    <xf numFmtId="166" fontId="32" fillId="5" borderId="1" xfId="0" applyNumberFormat="1" applyFont="1" applyFill="1" applyBorder="1" applyAlignment="1" applyProtection="1">
      <alignment horizontal="center"/>
      <protection hidden="1"/>
    </xf>
    <xf numFmtId="0" fontId="11" fillId="0" borderId="0" xfId="0" applyFont="1" applyFill="1" applyBorder="1" applyAlignment="1" applyProtection="1">
      <alignment horizontal="left"/>
      <protection hidden="1"/>
    </xf>
    <xf numFmtId="178" fontId="6" fillId="0" borderId="0" xfId="0" applyNumberFormat="1" applyFont="1" applyFill="1" applyBorder="1" applyAlignment="1" applyProtection="1">
      <alignment horizontal="center"/>
      <protection hidden="1"/>
    </xf>
    <xf numFmtId="40" fontId="6" fillId="0" borderId="0" xfId="2" applyFont="1" applyFill="1" applyBorder="1" applyAlignment="1" applyProtection="1">
      <alignment horizontal="left"/>
      <protection hidden="1"/>
    </xf>
    <xf numFmtId="38" fontId="6" fillId="3" borderId="0" xfId="2" applyNumberFormat="1" applyFont="1" applyFill="1" applyBorder="1" applyAlignment="1" applyProtection="1">
      <alignment horizontal="center"/>
      <protection hidden="1"/>
    </xf>
    <xf numFmtId="3" fontId="6" fillId="0" borderId="0" xfId="0" applyNumberFormat="1" applyFont="1" applyFill="1" applyBorder="1" applyProtection="1">
      <protection hidden="1"/>
    </xf>
    <xf numFmtId="183" fontId="6" fillId="0" borderId="0" xfId="0" applyNumberFormat="1" applyFont="1" applyFill="1" applyBorder="1" applyProtection="1">
      <protection hidden="1"/>
    </xf>
    <xf numFmtId="9" fontId="5" fillId="0" borderId="0" xfId="0" applyNumberFormat="1" applyFont="1" applyFill="1" applyBorder="1" applyAlignment="1" applyProtection="1">
      <alignment horizontal="center"/>
      <protection hidden="1"/>
    </xf>
    <xf numFmtId="0" fontId="5" fillId="0" borderId="56" xfId="0" applyFont="1" applyFill="1" applyBorder="1" applyAlignment="1" applyProtection="1">
      <alignment horizontal="left"/>
      <protection hidden="1"/>
    </xf>
    <xf numFmtId="10" fontId="16" fillId="0" borderId="57" xfId="8" applyNumberFormat="1" applyFont="1" applyFill="1" applyBorder="1" applyAlignment="1" applyProtection="1">
      <alignment horizontal="center"/>
      <protection hidden="1"/>
    </xf>
    <xf numFmtId="168" fontId="5" fillId="0" borderId="0" xfId="0" applyNumberFormat="1" applyFont="1" applyFill="1" applyBorder="1" applyAlignment="1" applyProtection="1">
      <alignment horizontal="center"/>
      <protection hidden="1"/>
    </xf>
    <xf numFmtId="0" fontId="6" fillId="0" borderId="58" xfId="0" applyFont="1" applyFill="1" applyBorder="1" applyAlignment="1" applyProtection="1">
      <alignment horizontal="left"/>
      <protection hidden="1"/>
    </xf>
    <xf numFmtId="168" fontId="10" fillId="0" borderId="59" xfId="0" applyNumberFormat="1" applyFont="1" applyFill="1" applyBorder="1" applyAlignment="1" applyProtection="1">
      <alignment horizontal="center"/>
      <protection hidden="1"/>
    </xf>
    <xf numFmtId="0" fontId="6" fillId="0" borderId="60" xfId="0" applyFont="1" applyFill="1" applyBorder="1" applyAlignment="1" applyProtection="1">
      <alignment horizontal="left"/>
      <protection hidden="1"/>
    </xf>
    <xf numFmtId="9" fontId="10" fillId="0" borderId="61" xfId="8" applyFont="1" applyFill="1" applyBorder="1" applyAlignment="1" applyProtection="1">
      <alignment horizontal="center"/>
      <protection hidden="1"/>
    </xf>
    <xf numFmtId="38" fontId="5" fillId="0" borderId="0" xfId="2" applyNumberFormat="1" applyFont="1" applyFill="1" applyBorder="1" applyProtection="1">
      <protection hidden="1"/>
    </xf>
    <xf numFmtId="0" fontId="5" fillId="3" borderId="62" xfId="0" applyFont="1" applyFill="1" applyBorder="1" applyAlignment="1" applyProtection="1">
      <alignment horizontal="left"/>
      <protection hidden="1"/>
    </xf>
    <xf numFmtId="10" fontId="16" fillId="3" borderId="63" xfId="0" applyNumberFormat="1" applyFont="1" applyFill="1" applyBorder="1" applyAlignment="1" applyProtection="1">
      <alignment horizontal="center"/>
      <protection hidden="1"/>
    </xf>
    <xf numFmtId="38" fontId="6" fillId="0" borderId="0" xfId="0" applyNumberFormat="1" applyFont="1" applyFill="1" applyBorder="1" applyAlignment="1" applyProtection="1">
      <alignment horizontal="center"/>
      <protection hidden="1"/>
    </xf>
    <xf numFmtId="0" fontId="5" fillId="0" borderId="64" xfId="0" applyFont="1" applyFill="1" applyBorder="1" applyAlignment="1" applyProtection="1">
      <alignment horizontal="left"/>
      <protection hidden="1"/>
    </xf>
    <xf numFmtId="10" fontId="10" fillId="0" borderId="65" xfId="0" applyNumberFormat="1" applyFont="1" applyFill="1" applyBorder="1" applyAlignment="1" applyProtection="1">
      <alignment horizontal="center"/>
      <protection hidden="1"/>
    </xf>
    <xf numFmtId="0" fontId="6" fillId="0" borderId="66" xfId="0" applyFont="1" applyFill="1" applyBorder="1" applyAlignment="1" applyProtection="1">
      <alignment horizontal="left"/>
      <protection hidden="1"/>
    </xf>
    <xf numFmtId="166" fontId="10" fillId="0" borderId="67" xfId="0" applyNumberFormat="1" applyFont="1" applyFill="1" applyBorder="1" applyAlignment="1" applyProtection="1">
      <alignment horizontal="center"/>
      <protection hidden="1"/>
    </xf>
    <xf numFmtId="166" fontId="6" fillId="0" borderId="0" xfId="0" applyNumberFormat="1" applyFont="1" applyFill="1" applyBorder="1" applyAlignment="1" applyProtection="1">
      <alignment horizontal="center"/>
      <protection hidden="1"/>
    </xf>
    <xf numFmtId="9" fontId="10" fillId="0" borderId="67" xfId="8" applyFont="1" applyFill="1" applyBorder="1" applyAlignment="1" applyProtection="1">
      <alignment horizontal="center"/>
      <protection hidden="1"/>
    </xf>
    <xf numFmtId="169" fontId="10" fillId="0" borderId="67" xfId="8" applyNumberFormat="1" applyFont="1" applyFill="1" applyBorder="1" applyAlignment="1" applyProtection="1">
      <alignment horizontal="center"/>
      <protection hidden="1"/>
    </xf>
    <xf numFmtId="0" fontId="5" fillId="0" borderId="66" xfId="0" applyFont="1" applyFill="1" applyBorder="1" applyAlignment="1" applyProtection="1">
      <alignment horizontal="left"/>
      <protection hidden="1"/>
    </xf>
    <xf numFmtId="0" fontId="5" fillId="0" borderId="60" xfId="0" applyFont="1" applyFill="1" applyBorder="1" applyAlignment="1" applyProtection="1">
      <alignment horizontal="left"/>
      <protection hidden="1"/>
    </xf>
    <xf numFmtId="166" fontId="10" fillId="0" borderId="61" xfId="0" applyNumberFormat="1" applyFont="1" applyFill="1" applyBorder="1" applyAlignment="1" applyProtection="1">
      <alignment horizontal="center"/>
      <protection hidden="1"/>
    </xf>
    <xf numFmtId="166" fontId="16" fillId="3" borderId="63" xfId="0" applyNumberFormat="1" applyFont="1" applyFill="1" applyBorder="1" applyAlignment="1" applyProtection="1">
      <alignment horizontal="center"/>
      <protection hidden="1"/>
    </xf>
    <xf numFmtId="0" fontId="5" fillId="0" borderId="41" xfId="0" applyFont="1" applyFill="1" applyBorder="1" applyAlignment="1" applyProtection="1">
      <alignment horizontal="left"/>
      <protection hidden="1"/>
    </xf>
    <xf numFmtId="40" fontId="16" fillId="0" borderId="63" xfId="2" applyFont="1" applyFill="1" applyBorder="1" applyAlignment="1" applyProtection="1">
      <alignment horizontal="center"/>
      <protection hidden="1"/>
    </xf>
    <xf numFmtId="2" fontId="6" fillId="0" borderId="0" xfId="0" applyNumberFormat="1" applyFont="1" applyFill="1" applyBorder="1" applyAlignment="1" applyProtection="1">
      <alignment horizontal="center"/>
      <protection hidden="1"/>
    </xf>
    <xf numFmtId="40" fontId="16" fillId="0" borderId="0" xfId="2" applyFont="1" applyFill="1" applyBorder="1" applyAlignment="1" applyProtection="1">
      <alignment horizontal="center"/>
      <protection hidden="1"/>
    </xf>
    <xf numFmtId="181" fontId="6" fillId="0" borderId="0" xfId="0" applyNumberFormat="1" applyFont="1" applyFill="1" applyBorder="1" applyAlignment="1" applyProtection="1">
      <alignment horizontal="center"/>
      <protection hidden="1"/>
    </xf>
    <xf numFmtId="40" fontId="6" fillId="0" borderId="0" xfId="2" applyFont="1" applyFill="1" applyBorder="1" applyAlignment="1" applyProtection="1">
      <alignment horizontal="center"/>
      <protection hidden="1"/>
    </xf>
    <xf numFmtId="184" fontId="6" fillId="0" borderId="0" xfId="0" applyNumberFormat="1" applyFont="1" applyFill="1" applyBorder="1" applyAlignment="1" applyProtection="1">
      <alignment horizontal="center"/>
      <protection hidden="1"/>
    </xf>
    <xf numFmtId="0" fontId="11" fillId="0" borderId="0" xfId="0" applyFont="1" applyFill="1" applyBorder="1" applyAlignment="1" applyProtection="1">
      <alignment horizontal="center"/>
      <protection hidden="1"/>
    </xf>
    <xf numFmtId="0" fontId="17"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protection hidden="1"/>
    </xf>
    <xf numFmtId="9" fontId="22" fillId="0" borderId="0" xfId="8" applyFont="1" applyFill="1" applyBorder="1" applyAlignment="1" applyProtection="1">
      <alignment horizontal="center"/>
      <protection hidden="1"/>
    </xf>
    <xf numFmtId="173" fontId="22" fillId="0" borderId="0" xfId="8" applyNumberFormat="1" applyFont="1" applyFill="1" applyBorder="1" applyAlignment="1" applyProtection="1">
      <alignment horizontal="center"/>
      <protection hidden="1"/>
    </xf>
    <xf numFmtId="9" fontId="22" fillId="2" borderId="0" xfId="8" applyFont="1" applyFill="1" applyBorder="1" applyAlignment="1" applyProtection="1">
      <alignment horizontal="center"/>
      <protection hidden="1"/>
    </xf>
    <xf numFmtId="0" fontId="11" fillId="6" borderId="1" xfId="0" applyFont="1" applyFill="1" applyBorder="1" applyAlignment="1" applyProtection="1">
      <alignment horizontal="left"/>
      <protection hidden="1"/>
    </xf>
    <xf numFmtId="0" fontId="11" fillId="6" borderId="1" xfId="0" applyFont="1" applyFill="1" applyBorder="1" applyAlignment="1" applyProtection="1">
      <alignment horizontal="center"/>
      <protection hidden="1"/>
    </xf>
    <xf numFmtId="3" fontId="11" fillId="0" borderId="1" xfId="0" applyNumberFormat="1" applyFont="1" applyFill="1" applyBorder="1" applyAlignment="1" applyProtection="1">
      <alignment horizontal="center"/>
      <protection hidden="1"/>
    </xf>
    <xf numFmtId="172" fontId="11" fillId="0" borderId="1" xfId="0" applyNumberFormat="1" applyFont="1" applyFill="1" applyBorder="1" applyAlignment="1" applyProtection="1">
      <alignment horizontal="center"/>
      <protection hidden="1"/>
    </xf>
    <xf numFmtId="3" fontId="11" fillId="3" borderId="1" xfId="4" applyNumberFormat="1" applyFont="1" applyFill="1" applyBorder="1" applyAlignment="1" applyProtection="1">
      <alignment horizontal="right"/>
      <protection hidden="1"/>
    </xf>
    <xf numFmtId="3" fontId="5" fillId="0" borderId="0" xfId="0" applyNumberFormat="1" applyFont="1" applyFill="1" applyBorder="1" applyAlignment="1" applyProtection="1">
      <alignment horizontal="center"/>
      <protection hidden="1"/>
    </xf>
    <xf numFmtId="169" fontId="11" fillId="6" borderId="1" xfId="8" applyNumberFormat="1" applyFont="1" applyFill="1" applyBorder="1" applyAlignment="1" applyProtection="1">
      <alignment horizontal="right"/>
      <protection hidden="1"/>
    </xf>
    <xf numFmtId="3" fontId="17" fillId="0" borderId="1" xfId="4" applyNumberFormat="1" applyFont="1" applyFill="1" applyBorder="1" applyAlignment="1" applyProtection="1">
      <alignment horizontal="right"/>
      <protection hidden="1"/>
    </xf>
    <xf numFmtId="169" fontId="11" fillId="2" borderId="1" xfId="8" applyNumberFormat="1" applyFont="1" applyFill="1" applyBorder="1" applyAlignment="1" applyProtection="1">
      <alignment horizontal="right"/>
      <protection hidden="1"/>
    </xf>
    <xf numFmtId="3" fontId="11" fillId="0" borderId="1" xfId="4" applyNumberFormat="1" applyFont="1" applyFill="1" applyBorder="1" applyAlignment="1" applyProtection="1">
      <alignment horizontal="right"/>
      <protection hidden="1"/>
    </xf>
    <xf numFmtId="0" fontId="17" fillId="0" borderId="1" xfId="0" applyFont="1" applyFill="1" applyBorder="1" applyAlignment="1" applyProtection="1">
      <alignment horizontal="left" vertical="top"/>
      <protection hidden="1"/>
    </xf>
    <xf numFmtId="0" fontId="11" fillId="0" borderId="1" xfId="0" applyFont="1" applyFill="1" applyBorder="1" applyAlignment="1" applyProtection="1">
      <alignment horizontal="left" vertical="top"/>
      <protection hidden="1"/>
    </xf>
    <xf numFmtId="169" fontId="5" fillId="0" borderId="1" xfId="8" applyNumberFormat="1" applyFont="1" applyFill="1" applyBorder="1" applyAlignment="1" applyProtection="1">
      <alignment horizontal="right"/>
      <protection hidden="1"/>
    </xf>
    <xf numFmtId="3" fontId="11" fillId="5" borderId="1" xfId="4" applyNumberFormat="1" applyFont="1" applyFill="1" applyBorder="1" applyAlignment="1" applyProtection="1">
      <alignment horizontal="right"/>
      <protection hidden="1"/>
    </xf>
    <xf numFmtId="3" fontId="6" fillId="0" borderId="0" xfId="4" applyNumberFormat="1" applyFont="1" applyFill="1" applyBorder="1" applyAlignment="1" applyProtection="1">
      <alignment horizontal="right"/>
      <protection hidden="1"/>
    </xf>
    <xf numFmtId="177" fontId="6" fillId="0" borderId="0" xfId="4" applyNumberFormat="1" applyFont="1" applyFill="1" applyBorder="1" applyAlignment="1" applyProtection="1">
      <alignment horizontal="right"/>
      <protection hidden="1"/>
    </xf>
    <xf numFmtId="3" fontId="5" fillId="0" borderId="0" xfId="4" applyNumberFormat="1" applyFont="1" applyFill="1" applyBorder="1" applyAlignment="1" applyProtection="1">
      <alignment horizontal="right"/>
      <protection hidden="1"/>
    </xf>
    <xf numFmtId="172" fontId="6" fillId="0" borderId="0" xfId="0" applyNumberFormat="1" applyFont="1" applyFill="1" applyBorder="1" applyProtection="1">
      <protection hidden="1"/>
    </xf>
    <xf numFmtId="176" fontId="6" fillId="0" borderId="0" xfId="0" applyNumberFormat="1" applyFont="1" applyFill="1" applyBorder="1" applyProtection="1">
      <protection hidden="1"/>
    </xf>
    <xf numFmtId="0" fontId="17" fillId="0" borderId="1" xfId="0" applyFont="1" applyFill="1" applyBorder="1" applyAlignment="1" applyProtection="1">
      <alignment horizontal="center"/>
      <protection hidden="1"/>
    </xf>
    <xf numFmtId="0" fontId="11" fillId="0" borderId="1" xfId="0" applyFont="1" applyFill="1" applyBorder="1" applyAlignment="1" applyProtection="1">
      <alignment horizontal="center"/>
      <protection hidden="1"/>
    </xf>
    <xf numFmtId="180" fontId="11" fillId="0" borderId="1" xfId="8" applyNumberFormat="1" applyFont="1" applyFill="1" applyBorder="1" applyAlignment="1" applyProtection="1">
      <alignment horizontal="center"/>
      <protection hidden="1"/>
    </xf>
    <xf numFmtId="171" fontId="17" fillId="0" borderId="1" xfId="0" applyNumberFormat="1" applyFont="1" applyFill="1" applyBorder="1" applyAlignment="1" applyProtection="1">
      <alignment horizontal="right"/>
      <protection hidden="1"/>
    </xf>
    <xf numFmtId="175" fontId="6" fillId="0" borderId="0" xfId="0" applyNumberFormat="1" applyFont="1" applyFill="1" applyBorder="1" applyProtection="1">
      <protection hidden="1"/>
    </xf>
    <xf numFmtId="171" fontId="17" fillId="0" borderId="1" xfId="4" applyNumberFormat="1" applyFont="1" applyFill="1" applyBorder="1" applyAlignment="1" applyProtection="1">
      <alignment horizontal="right"/>
      <protection hidden="1"/>
    </xf>
    <xf numFmtId="171" fontId="17" fillId="2" borderId="1" xfId="4" applyNumberFormat="1" applyFont="1" applyFill="1" applyBorder="1" applyAlignment="1" applyProtection="1">
      <alignment horizontal="right"/>
      <protection hidden="1"/>
    </xf>
    <xf numFmtId="171" fontId="11" fillId="3" borderId="1" xfId="0" applyNumberFormat="1" applyFont="1" applyFill="1" applyBorder="1" applyAlignment="1" applyProtection="1">
      <alignment horizontal="right"/>
      <protection hidden="1"/>
    </xf>
    <xf numFmtId="171" fontId="11" fillId="0" borderId="1" xfId="0" applyNumberFormat="1" applyFont="1" applyFill="1" applyBorder="1" applyAlignment="1" applyProtection="1">
      <alignment horizontal="right"/>
      <protection hidden="1"/>
    </xf>
    <xf numFmtId="171" fontId="6" fillId="0" borderId="0" xfId="0" applyNumberFormat="1" applyFont="1" applyFill="1" applyBorder="1" applyProtection="1">
      <protection hidden="1"/>
    </xf>
    <xf numFmtId="171" fontId="11" fillId="0" borderId="1" xfId="4" applyNumberFormat="1" applyFont="1" applyFill="1" applyBorder="1" applyAlignment="1" applyProtection="1">
      <alignment horizontal="right"/>
      <protection hidden="1"/>
    </xf>
    <xf numFmtId="0" fontId="17" fillId="2" borderId="1" xfId="0" applyFont="1" applyFill="1" applyBorder="1" applyAlignment="1" applyProtection="1">
      <alignment horizontal="left"/>
      <protection hidden="1"/>
    </xf>
    <xf numFmtId="171" fontId="17" fillId="2" borderId="1" xfId="0" applyNumberFormat="1" applyFont="1" applyFill="1" applyBorder="1" applyAlignment="1" applyProtection="1">
      <alignment horizontal="right"/>
      <protection hidden="1"/>
    </xf>
    <xf numFmtId="171" fontId="6" fillId="2" borderId="0" xfId="0" applyNumberFormat="1" applyFont="1" applyFill="1" applyBorder="1" applyAlignment="1" applyProtection="1">
      <alignment horizontal="center"/>
      <protection hidden="1"/>
    </xf>
    <xf numFmtId="0" fontId="6" fillId="2" borderId="0" xfId="0" applyFont="1" applyFill="1" applyBorder="1" applyAlignment="1" applyProtection="1">
      <alignment horizontal="center"/>
      <protection hidden="1"/>
    </xf>
    <xf numFmtId="171" fontId="20" fillId="2" borderId="0" xfId="0" applyNumberFormat="1" applyFont="1" applyFill="1" applyBorder="1" applyProtection="1">
      <protection hidden="1"/>
    </xf>
    <xf numFmtId="171" fontId="20" fillId="0" borderId="0" xfId="0" applyNumberFormat="1" applyFont="1" applyFill="1" applyBorder="1" applyProtection="1">
      <protection hidden="1"/>
    </xf>
    <xf numFmtId="171" fontId="17" fillId="8" borderId="1" xfId="0" applyNumberFormat="1" applyFont="1" applyFill="1" applyBorder="1" applyAlignment="1" applyProtection="1">
      <alignment horizontal="right"/>
      <protection hidden="1"/>
    </xf>
    <xf numFmtId="0" fontId="17" fillId="2" borderId="1" xfId="0" applyFont="1" applyFill="1" applyBorder="1" applyProtection="1">
      <protection hidden="1"/>
    </xf>
    <xf numFmtId="0" fontId="6" fillId="2" borderId="0" xfId="0" applyFont="1" applyFill="1" applyBorder="1" applyProtection="1">
      <protection hidden="1"/>
    </xf>
    <xf numFmtId="0" fontId="9" fillId="2" borderId="0" xfId="0" applyFont="1" applyFill="1" applyBorder="1" applyAlignment="1" applyProtection="1">
      <alignment horizontal="left"/>
      <protection hidden="1"/>
    </xf>
    <xf numFmtId="185" fontId="9" fillId="2" borderId="0" xfId="2" applyNumberFormat="1" applyFont="1" applyFill="1" applyBorder="1" applyAlignment="1" applyProtection="1">
      <alignment horizontal="right"/>
      <protection hidden="1"/>
    </xf>
    <xf numFmtId="171" fontId="9" fillId="2" borderId="0" xfId="0" applyNumberFormat="1" applyFont="1" applyFill="1" applyBorder="1" applyAlignment="1" applyProtection="1">
      <alignment horizontal="right"/>
      <protection hidden="1"/>
    </xf>
    <xf numFmtId="0" fontId="11" fillId="3" borderId="68" xfId="0" applyFont="1" applyFill="1" applyBorder="1" applyAlignment="1" applyProtection="1">
      <alignment horizontal="left"/>
      <protection hidden="1"/>
    </xf>
    <xf numFmtId="0" fontId="11" fillId="3" borderId="68" xfId="0" applyFont="1" applyFill="1" applyBorder="1" applyAlignment="1" applyProtection="1">
      <alignment horizontal="center"/>
      <protection hidden="1"/>
    </xf>
    <xf numFmtId="0" fontId="17" fillId="0" borderId="68" xfId="0" applyFont="1" applyFill="1" applyBorder="1" applyAlignment="1" applyProtection="1">
      <alignment horizontal="left"/>
      <protection hidden="1"/>
    </xf>
    <xf numFmtId="187" fontId="17" fillId="0" borderId="68" xfId="0" applyNumberFormat="1" applyFont="1" applyFill="1" applyBorder="1" applyAlignment="1" applyProtection="1">
      <alignment horizontal="right"/>
      <protection hidden="1"/>
    </xf>
    <xf numFmtId="10" fontId="17" fillId="0" borderId="68" xfId="8" applyNumberFormat="1" applyFont="1" applyFill="1" applyBorder="1" applyAlignment="1" applyProtection="1">
      <alignment horizontal="right"/>
      <protection hidden="1"/>
    </xf>
    <xf numFmtId="171" fontId="17" fillId="0" borderId="68" xfId="0" applyNumberFormat="1" applyFont="1" applyFill="1" applyBorder="1" applyAlignment="1" applyProtection="1">
      <alignment horizontal="right"/>
      <protection hidden="1"/>
    </xf>
    <xf numFmtId="171" fontId="5" fillId="0" borderId="0" xfId="4" applyNumberFormat="1" applyFont="1" applyFill="1" applyBorder="1" applyAlignment="1" applyProtection="1">
      <alignment horizontal="right"/>
      <protection hidden="1"/>
    </xf>
    <xf numFmtId="4" fontId="6" fillId="0" borderId="0" xfId="0" applyNumberFormat="1" applyFont="1" applyFill="1" applyBorder="1" applyAlignment="1" applyProtection="1">
      <alignment horizontal="center"/>
      <protection hidden="1"/>
    </xf>
    <xf numFmtId="169" fontId="6" fillId="4" borderId="1" xfId="8" applyNumberFormat="1" applyFont="1" applyFill="1" applyBorder="1" applyProtection="1">
      <protection locked="0"/>
    </xf>
    <xf numFmtId="10" fontId="5" fillId="4" borderId="1" xfId="8" applyNumberFormat="1" applyFont="1" applyFill="1" applyBorder="1" applyProtection="1">
      <protection locked="0"/>
    </xf>
    <xf numFmtId="0" fontId="7" fillId="0" borderId="68" xfId="0" applyFont="1" applyBorder="1" applyAlignment="1" applyProtection="1">
      <alignment horizontal="center"/>
      <protection hidden="1"/>
    </xf>
    <xf numFmtId="0" fontId="4" fillId="0" borderId="68" xfId="0" applyFont="1" applyBorder="1" applyProtection="1">
      <protection hidden="1"/>
    </xf>
    <xf numFmtId="10" fontId="4" fillId="0" borderId="68" xfId="8" applyNumberFormat="1" applyFont="1" applyBorder="1" applyProtection="1">
      <protection hidden="1"/>
    </xf>
    <xf numFmtId="0" fontId="7" fillId="0" borderId="46" xfId="0" applyFont="1" applyBorder="1" applyAlignment="1" applyProtection="1">
      <alignment horizontal="center"/>
      <protection hidden="1"/>
    </xf>
    <xf numFmtId="10" fontId="5" fillId="0" borderId="51" xfId="8" applyNumberFormat="1" applyFont="1" applyBorder="1" applyAlignment="1" applyProtection="1">
      <alignment horizontal="center"/>
      <protection hidden="1"/>
    </xf>
    <xf numFmtId="0" fontId="0" fillId="0" borderId="55" xfId="0" applyBorder="1" applyProtection="1">
      <protection hidden="1"/>
    </xf>
    <xf numFmtId="10" fontId="5" fillId="0" borderId="69" xfId="8" applyNumberFormat="1" applyFont="1" applyBorder="1" applyAlignment="1" applyProtection="1">
      <alignment horizontal="center"/>
      <protection hidden="1"/>
    </xf>
    <xf numFmtId="0" fontId="0" fillId="0" borderId="70" xfId="0" applyBorder="1" applyProtection="1">
      <protection hidden="1"/>
    </xf>
    <xf numFmtId="38" fontId="4" fillId="0" borderId="68" xfId="2" applyNumberFormat="1" applyFont="1" applyBorder="1" applyAlignment="1" applyProtection="1">
      <protection hidden="1"/>
    </xf>
    <xf numFmtId="38" fontId="4" fillId="0" borderId="68" xfId="2" applyNumberFormat="1" applyFont="1" applyBorder="1" applyAlignment="1" applyProtection="1">
      <alignment horizontal="center"/>
      <protection hidden="1"/>
    </xf>
    <xf numFmtId="0" fontId="4" fillId="9" borderId="68" xfId="0" applyFont="1" applyFill="1" applyBorder="1" applyProtection="1">
      <protection hidden="1"/>
    </xf>
    <xf numFmtId="0" fontId="4" fillId="0" borderId="69" xfId="0" applyFont="1" applyBorder="1" applyAlignment="1" applyProtection="1">
      <protection hidden="1"/>
    </xf>
    <xf numFmtId="0" fontId="4" fillId="0" borderId="70" xfId="0" applyFont="1" applyBorder="1" applyAlignment="1" applyProtection="1">
      <protection hidden="1"/>
    </xf>
    <xf numFmtId="0" fontId="4" fillId="0" borderId="51" xfId="0" applyFont="1" applyBorder="1" applyAlignment="1" applyProtection="1">
      <protection hidden="1"/>
    </xf>
    <xf numFmtId="0" fontId="4" fillId="0" borderId="55" xfId="0" applyFont="1" applyBorder="1" applyAlignment="1" applyProtection="1">
      <alignment wrapText="1"/>
      <protection hidden="1"/>
    </xf>
    <xf numFmtId="0" fontId="4" fillId="0" borderId="0" xfId="0" applyFont="1" applyBorder="1" applyAlignment="1" applyProtection="1">
      <alignment horizontal="left"/>
      <protection hidden="1"/>
    </xf>
    <xf numFmtId="166" fontId="4" fillId="0" borderId="0" xfId="4" applyNumberFormat="1" applyFont="1" applyProtection="1">
      <protection hidden="1"/>
    </xf>
    <xf numFmtId="166" fontId="4" fillId="0" borderId="1" xfId="4" applyNumberFormat="1" applyFont="1" applyBorder="1" applyProtection="1">
      <protection hidden="1"/>
    </xf>
    <xf numFmtId="166" fontId="4" fillId="0" borderId="18" xfId="4" applyNumberFormat="1" applyFont="1" applyBorder="1" applyProtection="1">
      <protection hidden="1"/>
    </xf>
    <xf numFmtId="166" fontId="4" fillId="0" borderId="13" xfId="4" applyNumberFormat="1" applyFont="1" applyBorder="1" applyProtection="1">
      <protection hidden="1"/>
    </xf>
    <xf numFmtId="166" fontId="4" fillId="0" borderId="22" xfId="4" applyNumberFormat="1" applyFont="1" applyBorder="1" applyProtection="1">
      <protection hidden="1"/>
    </xf>
    <xf numFmtId="166" fontId="5" fillId="0" borderId="1" xfId="4" applyNumberFormat="1" applyFont="1" applyBorder="1" applyAlignment="1" applyProtection="1">
      <alignment wrapText="1"/>
      <protection hidden="1"/>
    </xf>
    <xf numFmtId="166" fontId="5" fillId="0" borderId="1" xfId="4" applyNumberFormat="1" applyFont="1" applyBorder="1" applyProtection="1">
      <protection hidden="1"/>
    </xf>
    <xf numFmtId="0" fontId="4" fillId="0" borderId="0" xfId="5" applyAlignment="1" applyProtection="1">
      <alignment horizontal="right"/>
      <protection hidden="1"/>
    </xf>
    <xf numFmtId="0" fontId="0" fillId="9" borderId="0" xfId="0" applyFill="1" applyProtection="1">
      <protection hidden="1"/>
    </xf>
    <xf numFmtId="0" fontId="1" fillId="0" borderId="0" xfId="0" applyFont="1" applyProtection="1">
      <protection hidden="1"/>
    </xf>
    <xf numFmtId="0" fontId="4" fillId="0" borderId="55" xfId="0" applyFont="1" applyBorder="1" applyAlignment="1" applyProtection="1">
      <protection hidden="1"/>
    </xf>
    <xf numFmtId="3" fontId="6" fillId="4" borderId="1" xfId="0" applyNumberFormat="1" applyFont="1" applyFill="1" applyBorder="1" applyAlignment="1" applyProtection="1">
      <alignment horizontal="center"/>
      <protection locked="0"/>
    </xf>
    <xf numFmtId="10" fontId="15" fillId="0" borderId="0" xfId="0" applyNumberFormat="1" applyFont="1" applyFill="1" applyBorder="1" applyAlignment="1" applyProtection="1">
      <alignment horizontal="center"/>
      <protection locked="0"/>
    </xf>
    <xf numFmtId="38" fontId="4" fillId="4" borderId="70" xfId="2" applyNumberFormat="1" applyFont="1" applyFill="1" applyBorder="1" applyAlignment="1" applyProtection="1">
      <alignment horizontal="center"/>
      <protection locked="0"/>
    </xf>
    <xf numFmtId="38" fontId="4" fillId="4" borderId="68" xfId="2" applyNumberFormat="1" applyFont="1" applyFill="1" applyBorder="1" applyAlignment="1" applyProtection="1">
      <alignment horizontal="center"/>
      <protection locked="0"/>
    </xf>
    <xf numFmtId="0" fontId="4" fillId="0" borderId="1" xfId="0" applyFont="1" applyBorder="1" applyProtection="1">
      <protection locked="0"/>
    </xf>
    <xf numFmtId="0" fontId="6" fillId="0" borderId="1" xfId="0" applyFont="1" applyBorder="1" applyProtection="1">
      <protection locked="0"/>
    </xf>
    <xf numFmtId="0" fontId="14" fillId="2" borderId="1" xfId="0" applyFont="1" applyFill="1" applyBorder="1" applyProtection="1">
      <protection locked="0"/>
    </xf>
    <xf numFmtId="0" fontId="6" fillId="2" borderId="1" xfId="0" applyFont="1" applyFill="1" applyBorder="1" applyProtection="1">
      <protection locked="0"/>
    </xf>
    <xf numFmtId="0" fontId="14" fillId="3" borderId="1" xfId="0" applyFont="1" applyFill="1" applyBorder="1" applyProtection="1">
      <protection locked="0"/>
    </xf>
    <xf numFmtId="0" fontId="4" fillId="0" borderId="1" xfId="6" applyFont="1" applyFill="1" applyBorder="1" applyProtection="1">
      <protection locked="0"/>
    </xf>
    <xf numFmtId="0" fontId="30" fillId="0" borderId="1" xfId="6" applyFont="1" applyFill="1" applyBorder="1" applyProtection="1">
      <protection locked="0"/>
    </xf>
    <xf numFmtId="3" fontId="14" fillId="3" borderId="1" xfId="6" applyNumberFormat="1" applyFont="1" applyFill="1" applyBorder="1" applyProtection="1">
      <protection locked="0"/>
    </xf>
    <xf numFmtId="173" fontId="6" fillId="0" borderId="68" xfId="8" applyNumberFormat="1" applyFont="1" applyBorder="1" applyAlignment="1" applyProtection="1">
      <alignment horizontal="right"/>
      <protection hidden="1"/>
    </xf>
    <xf numFmtId="9" fontId="6" fillId="0" borderId="1" xfId="0" applyNumberFormat="1" applyFont="1" applyBorder="1" applyAlignment="1" applyProtection="1">
      <alignment horizontal="right"/>
      <protection locked="0"/>
    </xf>
    <xf numFmtId="174" fontId="4" fillId="4" borderId="1" xfId="0" applyNumberFormat="1" applyFont="1" applyFill="1" applyBorder="1" applyAlignment="1" applyProtection="1">
      <alignment horizontal="center"/>
      <protection locked="0"/>
    </xf>
    <xf numFmtId="171" fontId="11" fillId="3" borderId="1" xfId="2" applyNumberFormat="1" applyFont="1" applyFill="1" applyBorder="1" applyAlignment="1" applyProtection="1">
      <alignment horizontal="right"/>
      <protection hidden="1"/>
    </xf>
    <xf numFmtId="9" fontId="4" fillId="2" borderId="1" xfId="8" applyFont="1" applyFill="1" applyBorder="1" applyProtection="1">
      <protection hidden="1"/>
    </xf>
    <xf numFmtId="10" fontId="4" fillId="4" borderId="1" xfId="0" applyNumberFormat="1" applyFont="1" applyFill="1" applyBorder="1" applyAlignment="1" applyProtection="1">
      <alignment horizontal="right"/>
      <protection locked="0"/>
    </xf>
    <xf numFmtId="10" fontId="4" fillId="4" borderId="1" xfId="8" applyNumberFormat="1" applyFont="1" applyFill="1" applyBorder="1" applyAlignment="1" applyProtection="1">
      <alignment horizontal="right"/>
      <protection locked="0"/>
    </xf>
    <xf numFmtId="38" fontId="4" fillId="0" borderId="1" xfId="2" applyNumberFormat="1" applyFont="1" applyFill="1" applyBorder="1" applyProtection="1">
      <protection hidden="1"/>
    </xf>
    <xf numFmtId="38" fontId="4" fillId="0" borderId="1" xfId="2" applyNumberFormat="1" applyFont="1" applyFill="1" applyBorder="1" applyAlignment="1" applyProtection="1">
      <alignment wrapText="1"/>
      <protection hidden="1"/>
    </xf>
    <xf numFmtId="3" fontId="5" fillId="3" borderId="1" xfId="6" applyNumberFormat="1" applyFont="1" applyFill="1" applyBorder="1" applyProtection="1">
      <protection hidden="1"/>
    </xf>
    <xf numFmtId="3" fontId="4" fillId="4" borderId="1" xfId="6" applyNumberFormat="1" applyFont="1" applyFill="1" applyBorder="1" applyProtection="1">
      <protection locked="0"/>
    </xf>
    <xf numFmtId="0" fontId="30" fillId="4" borderId="18" xfId="0" applyFont="1" applyFill="1" applyBorder="1" applyAlignment="1" applyProtection="1">
      <alignment wrapText="1"/>
      <protection locked="0"/>
    </xf>
    <xf numFmtId="10" fontId="36" fillId="4" borderId="1" xfId="0" applyNumberFormat="1" applyFont="1" applyFill="1" applyBorder="1" applyAlignment="1" applyProtection="1">
      <alignment horizontal="right"/>
      <protection locked="0"/>
    </xf>
    <xf numFmtId="0" fontId="4" fillId="0" borderId="68" xfId="0" applyFont="1" applyFill="1" applyBorder="1" applyAlignment="1" applyProtection="1">
      <alignment horizontal="left"/>
      <protection hidden="1"/>
    </xf>
    <xf numFmtId="9" fontId="6" fillId="0" borderId="68" xfId="8" applyFont="1" applyFill="1" applyBorder="1" applyAlignment="1" applyProtection="1">
      <alignment horizontal="right"/>
      <protection hidden="1"/>
    </xf>
    <xf numFmtId="9" fontId="5" fillId="0" borderId="68" xfId="8" applyFont="1" applyFill="1" applyBorder="1" applyAlignment="1" applyProtection="1">
      <alignment horizontal="right"/>
      <protection hidden="1"/>
    </xf>
    <xf numFmtId="0" fontId="5" fillId="0" borderId="68" xfId="0" applyFont="1" applyFill="1" applyBorder="1" applyAlignment="1" applyProtection="1">
      <alignment horizontal="left"/>
      <protection hidden="1"/>
    </xf>
    <xf numFmtId="2" fontId="6" fillId="0" borderId="68" xfId="0" applyNumberFormat="1" applyFont="1" applyFill="1" applyBorder="1" applyAlignment="1" applyProtection="1">
      <alignment horizontal="right"/>
      <protection hidden="1"/>
    </xf>
    <xf numFmtId="10" fontId="5" fillId="0" borderId="68" xfId="8" applyNumberFormat="1" applyFont="1" applyFill="1" applyBorder="1" applyAlignment="1" applyProtection="1">
      <alignment horizontal="right"/>
      <protection hidden="1"/>
    </xf>
    <xf numFmtId="3" fontId="6" fillId="0" borderId="68" xfId="0" applyNumberFormat="1" applyFont="1" applyFill="1" applyBorder="1" applyAlignment="1" applyProtection="1">
      <alignment horizontal="center"/>
      <protection hidden="1"/>
    </xf>
    <xf numFmtId="3" fontId="6" fillId="0" borderId="68" xfId="0" applyNumberFormat="1" applyFont="1" applyFill="1" applyBorder="1" applyAlignment="1" applyProtection="1">
      <alignment horizontal="right"/>
      <protection hidden="1"/>
    </xf>
    <xf numFmtId="0" fontId="5" fillId="0" borderId="1" xfId="5" applyFont="1" applyBorder="1" applyAlignment="1" applyProtection="1">
      <alignment horizontal="center" vertical="center"/>
      <protection hidden="1"/>
    </xf>
    <xf numFmtId="0" fontId="4" fillId="0" borderId="1" xfId="5" applyBorder="1" applyAlignment="1" applyProtection="1">
      <alignment vertical="center"/>
      <protection hidden="1"/>
    </xf>
    <xf numFmtId="0" fontId="12" fillId="4" borderId="39" xfId="0" applyFont="1" applyFill="1" applyBorder="1" applyAlignment="1" applyProtection="1">
      <alignment horizontal="center"/>
      <protection locked="0"/>
    </xf>
    <xf numFmtId="0" fontId="12" fillId="4" borderId="0" xfId="0" applyFont="1" applyFill="1" applyBorder="1" applyAlignment="1" applyProtection="1">
      <alignment horizontal="center"/>
      <protection locked="0"/>
    </xf>
    <xf numFmtId="0" fontId="5" fillId="3" borderId="39" xfId="0" applyFont="1" applyFill="1" applyBorder="1" applyAlignment="1" applyProtection="1">
      <alignment horizontal="center"/>
      <protection hidden="1"/>
    </xf>
    <xf numFmtId="0" fontId="5" fillId="3" borderId="0" xfId="0" applyFont="1" applyFill="1" applyBorder="1" applyAlignment="1" applyProtection="1">
      <alignment horizontal="center"/>
      <protection hidden="1"/>
    </xf>
    <xf numFmtId="0" fontId="5" fillId="3" borderId="22" xfId="0" applyFont="1" applyFill="1" applyBorder="1" applyAlignment="1" applyProtection="1">
      <alignment horizontal="center"/>
      <protection hidden="1"/>
    </xf>
    <xf numFmtId="0" fontId="5" fillId="3" borderId="71" xfId="0" applyFont="1" applyFill="1" applyBorder="1" applyAlignment="1" applyProtection="1">
      <alignment horizontal="center"/>
      <protection hidden="1"/>
    </xf>
    <xf numFmtId="0" fontId="5" fillId="3" borderId="16" xfId="0" applyFont="1" applyFill="1" applyBorder="1" applyAlignment="1" applyProtection="1">
      <alignment horizontal="center"/>
      <protection hidden="1"/>
    </xf>
    <xf numFmtId="0" fontId="5" fillId="3" borderId="26" xfId="0" applyFont="1" applyFill="1" applyBorder="1" applyAlignment="1" applyProtection="1">
      <alignment horizontal="center"/>
      <protection hidden="1"/>
    </xf>
    <xf numFmtId="0" fontId="5" fillId="3" borderId="72" xfId="0" applyFont="1" applyFill="1" applyBorder="1" applyAlignment="1" applyProtection="1">
      <alignment horizontal="center"/>
      <protection hidden="1"/>
    </xf>
    <xf numFmtId="0" fontId="5" fillId="3" borderId="24" xfId="0" applyFont="1" applyFill="1" applyBorder="1" applyAlignment="1" applyProtection="1">
      <alignment horizontal="center"/>
      <protection hidden="1"/>
    </xf>
    <xf numFmtId="0" fontId="5" fillId="3" borderId="6" xfId="0" applyFont="1" applyFill="1" applyBorder="1" applyAlignment="1" applyProtection="1">
      <alignment horizontal="center"/>
      <protection hidden="1"/>
    </xf>
    <xf numFmtId="0" fontId="5" fillId="3" borderId="73" xfId="0" applyFont="1" applyFill="1" applyBorder="1" applyAlignment="1" applyProtection="1">
      <alignment horizontal="center"/>
      <protection hidden="1"/>
    </xf>
    <xf numFmtId="0" fontId="5" fillId="3" borderId="5" xfId="0" applyFont="1" applyFill="1" applyBorder="1" applyAlignment="1" applyProtection="1">
      <alignment horizontal="center"/>
      <protection hidden="1"/>
    </xf>
    <xf numFmtId="0" fontId="5" fillId="3" borderId="72" xfId="2" applyNumberFormat="1" applyFont="1" applyFill="1" applyBorder="1" applyAlignment="1" applyProtection="1">
      <alignment horizontal="center"/>
      <protection hidden="1"/>
    </xf>
    <xf numFmtId="0" fontId="9" fillId="3" borderId="1" xfId="0" applyFont="1" applyFill="1" applyBorder="1" applyAlignment="1" applyProtection="1">
      <alignment horizontal="center"/>
      <protection hidden="1"/>
    </xf>
    <xf numFmtId="40" fontId="5" fillId="3" borderId="18" xfId="2" applyFont="1" applyFill="1" applyBorder="1" applyAlignment="1" applyProtection="1">
      <alignment horizontal="center"/>
      <protection hidden="1"/>
    </xf>
    <xf numFmtId="40" fontId="5" fillId="3" borderId="20" xfId="2" applyFont="1" applyFill="1" applyBorder="1" applyAlignment="1" applyProtection="1">
      <alignment horizontal="center"/>
      <protection hidden="1"/>
    </xf>
    <xf numFmtId="40" fontId="5" fillId="3" borderId="11" xfId="2" applyFont="1" applyFill="1" applyBorder="1" applyAlignment="1" applyProtection="1">
      <alignment horizontal="center"/>
      <protection hidden="1"/>
    </xf>
    <xf numFmtId="0" fontId="13" fillId="3" borderId="22" xfId="6" applyFont="1" applyFill="1" applyBorder="1" applyAlignment="1" applyProtection="1">
      <alignment horizontal="center"/>
      <protection hidden="1"/>
    </xf>
    <xf numFmtId="0" fontId="13" fillId="3" borderId="71" xfId="6" applyFont="1" applyFill="1" applyBorder="1" applyAlignment="1" applyProtection="1">
      <alignment horizontal="center"/>
      <protection hidden="1"/>
    </xf>
    <xf numFmtId="0" fontId="13" fillId="3" borderId="16" xfId="6" applyFont="1" applyFill="1" applyBorder="1" applyAlignment="1" applyProtection="1">
      <alignment horizontal="center"/>
      <protection hidden="1"/>
    </xf>
    <xf numFmtId="0" fontId="13" fillId="3" borderId="26" xfId="6" applyFont="1" applyFill="1" applyBorder="1" applyAlignment="1" applyProtection="1">
      <alignment horizontal="center"/>
      <protection hidden="1"/>
    </xf>
    <xf numFmtId="0" fontId="13" fillId="3" borderId="72" xfId="6" applyFont="1" applyFill="1" applyBorder="1" applyAlignment="1" applyProtection="1">
      <alignment horizontal="center"/>
      <protection hidden="1"/>
    </xf>
    <xf numFmtId="0" fontId="13" fillId="3" borderId="24" xfId="6" applyFont="1" applyFill="1" applyBorder="1" applyAlignment="1" applyProtection="1">
      <alignment horizontal="center"/>
      <protection hidden="1"/>
    </xf>
    <xf numFmtId="0" fontId="13" fillId="3" borderId="39" xfId="6" applyFont="1" applyFill="1" applyBorder="1" applyAlignment="1" applyProtection="1">
      <alignment horizontal="center"/>
      <protection hidden="1"/>
    </xf>
    <xf numFmtId="0" fontId="13" fillId="3" borderId="0" xfId="6" applyFont="1" applyFill="1" applyBorder="1" applyAlignment="1" applyProtection="1">
      <alignment horizontal="center"/>
      <protection hidden="1"/>
    </xf>
    <xf numFmtId="4" fontId="5" fillId="3" borderId="39" xfId="7" applyNumberFormat="1" applyFont="1" applyFill="1" applyBorder="1" applyAlignment="1" applyProtection="1">
      <alignment horizontal="center" wrapText="1"/>
      <protection hidden="1"/>
    </xf>
    <xf numFmtId="170" fontId="13" fillId="3" borderId="13" xfId="7" applyNumberFormat="1" applyFont="1" applyFill="1" applyBorder="1" applyAlignment="1" applyProtection="1">
      <alignment horizontal="center" vertical="top" wrapText="1"/>
      <protection hidden="1"/>
    </xf>
    <xf numFmtId="170" fontId="13" fillId="3" borderId="18" xfId="7" applyNumberFormat="1" applyFont="1" applyFill="1" applyBorder="1" applyAlignment="1" applyProtection="1">
      <alignment horizontal="center" vertical="top" wrapText="1"/>
      <protection hidden="1"/>
    </xf>
    <xf numFmtId="170" fontId="13" fillId="3" borderId="20" xfId="7" applyNumberFormat="1" applyFont="1" applyFill="1" applyBorder="1" applyAlignment="1" applyProtection="1">
      <alignment horizontal="center" vertical="top" wrapText="1"/>
      <protection hidden="1"/>
    </xf>
    <xf numFmtId="170" fontId="13" fillId="3" borderId="11" xfId="7" applyNumberFormat="1" applyFont="1" applyFill="1" applyBorder="1" applyAlignment="1" applyProtection="1">
      <alignment horizontal="center" vertical="top" wrapText="1"/>
      <protection hidden="1"/>
    </xf>
    <xf numFmtId="4" fontId="5" fillId="3" borderId="39" xfId="7" applyNumberFormat="1" applyFont="1" applyFill="1" applyBorder="1" applyAlignment="1" applyProtection="1">
      <alignment horizontal="center"/>
      <protection hidden="1"/>
    </xf>
    <xf numFmtId="4" fontId="5" fillId="3" borderId="0" xfId="7" applyNumberFormat="1" applyFont="1" applyFill="1" applyBorder="1" applyAlignment="1" applyProtection="1">
      <alignment horizontal="center"/>
      <protection hidden="1"/>
    </xf>
    <xf numFmtId="4" fontId="4" fillId="5" borderId="33" xfId="7" applyNumberFormat="1" applyFont="1" applyFill="1" applyBorder="1" applyAlignment="1" applyProtection="1">
      <alignment horizontal="center"/>
      <protection hidden="1"/>
    </xf>
    <xf numFmtId="4" fontId="4" fillId="5" borderId="33" xfId="7" applyNumberFormat="1" applyFill="1" applyBorder="1" applyAlignment="1" applyProtection="1">
      <alignment horizontal="center"/>
      <protection hidden="1"/>
    </xf>
    <xf numFmtId="38" fontId="5" fillId="3" borderId="1" xfId="2" applyNumberFormat="1" applyFont="1" applyFill="1" applyBorder="1" applyAlignment="1" applyProtection="1">
      <alignment horizontal="center"/>
      <protection hidden="1"/>
    </xf>
    <xf numFmtId="38" fontId="5" fillId="3" borderId="22" xfId="2" applyNumberFormat="1" applyFont="1" applyFill="1" applyBorder="1" applyAlignment="1" applyProtection="1">
      <alignment horizontal="center"/>
      <protection hidden="1"/>
    </xf>
    <xf numFmtId="38" fontId="5" fillId="3" borderId="71" xfId="2" applyNumberFormat="1" applyFont="1" applyFill="1" applyBorder="1" applyAlignment="1" applyProtection="1">
      <alignment horizontal="center"/>
      <protection hidden="1"/>
    </xf>
    <xf numFmtId="38" fontId="5" fillId="3" borderId="16" xfId="2" applyNumberFormat="1" applyFont="1" applyFill="1" applyBorder="1" applyAlignment="1" applyProtection="1">
      <alignment horizontal="center"/>
      <protection hidden="1"/>
    </xf>
    <xf numFmtId="38" fontId="5" fillId="3" borderId="26" xfId="2" applyNumberFormat="1" applyFont="1" applyFill="1" applyBorder="1" applyAlignment="1" applyProtection="1">
      <alignment horizontal="center"/>
      <protection hidden="1"/>
    </xf>
    <xf numFmtId="38" fontId="5" fillId="3" borderId="72" xfId="2" applyNumberFormat="1" applyFont="1" applyFill="1" applyBorder="1" applyAlignment="1" applyProtection="1">
      <alignment horizontal="center"/>
      <protection hidden="1"/>
    </xf>
    <xf numFmtId="38" fontId="5" fillId="3" borderId="24" xfId="2" applyNumberFormat="1" applyFont="1" applyFill="1" applyBorder="1" applyAlignment="1" applyProtection="1">
      <alignment horizontal="center"/>
      <protection hidden="1"/>
    </xf>
    <xf numFmtId="0" fontId="5" fillId="0" borderId="0" xfId="0" applyFont="1" applyFill="1" applyBorder="1" applyAlignment="1" applyProtection="1">
      <alignment horizontal="left"/>
      <protection hidden="1"/>
    </xf>
    <xf numFmtId="0" fontId="7" fillId="3" borderId="22" xfId="0" applyFont="1" applyFill="1" applyBorder="1" applyAlignment="1" applyProtection="1">
      <alignment horizontal="center"/>
      <protection hidden="1"/>
    </xf>
    <xf numFmtId="0" fontId="7" fillId="3" borderId="71" xfId="0" applyFont="1" applyFill="1" applyBorder="1" applyAlignment="1" applyProtection="1">
      <alignment horizontal="center"/>
      <protection hidden="1"/>
    </xf>
    <xf numFmtId="0" fontId="7" fillId="3" borderId="16" xfId="0" applyFont="1" applyFill="1" applyBorder="1" applyAlignment="1" applyProtection="1">
      <alignment horizontal="center"/>
      <protection hidden="1"/>
    </xf>
    <xf numFmtId="0" fontId="5" fillId="0" borderId="0" xfId="0" applyFont="1" applyAlignment="1" applyProtection="1">
      <alignment horizontal="center" vertical="center"/>
      <protection hidden="1"/>
    </xf>
    <xf numFmtId="0" fontId="14" fillId="3" borderId="22" xfId="0" applyFont="1" applyFill="1" applyBorder="1" applyAlignment="1" applyProtection="1">
      <alignment horizontal="center"/>
      <protection hidden="1"/>
    </xf>
    <xf numFmtId="0" fontId="14" fillId="3" borderId="71" xfId="0" applyFont="1" applyFill="1" applyBorder="1" applyAlignment="1" applyProtection="1">
      <alignment horizontal="center"/>
      <protection hidden="1"/>
    </xf>
    <xf numFmtId="0" fontId="14" fillId="3" borderId="16" xfId="0" applyFont="1" applyFill="1" applyBorder="1" applyAlignment="1" applyProtection="1">
      <alignment horizontal="center"/>
      <protection hidden="1"/>
    </xf>
    <xf numFmtId="0" fontId="14" fillId="3" borderId="26" xfId="0" applyFont="1" applyFill="1" applyBorder="1" applyAlignment="1" applyProtection="1">
      <alignment horizontal="center"/>
      <protection hidden="1"/>
    </xf>
    <xf numFmtId="0" fontId="14" fillId="3" borderId="72" xfId="0" applyFont="1" applyFill="1" applyBorder="1" applyAlignment="1" applyProtection="1">
      <alignment horizontal="center"/>
      <protection hidden="1"/>
    </xf>
    <xf numFmtId="0" fontId="14" fillId="3" borderId="24" xfId="0" applyFont="1" applyFill="1" applyBorder="1" applyAlignment="1" applyProtection="1">
      <alignment horizontal="center"/>
      <protection hidden="1"/>
    </xf>
    <xf numFmtId="0" fontId="6" fillId="0" borderId="1" xfId="0" applyFont="1" applyBorder="1" applyAlignment="1" applyProtection="1">
      <alignment horizontal="left"/>
      <protection hidden="1"/>
    </xf>
    <xf numFmtId="10" fontId="5" fillId="0" borderId="68" xfId="8" applyNumberFormat="1" applyFont="1" applyBorder="1" applyAlignment="1" applyProtection="1">
      <alignment horizontal="center"/>
      <protection hidden="1"/>
    </xf>
    <xf numFmtId="10" fontId="5" fillId="0" borderId="46" xfId="8" applyNumberFormat="1" applyFont="1" applyBorder="1" applyAlignment="1" applyProtection="1">
      <alignment horizontal="center"/>
      <protection hidden="1"/>
    </xf>
    <xf numFmtId="10" fontId="5" fillId="0" borderId="47" xfId="8" applyNumberFormat="1" applyFont="1" applyBorder="1" applyAlignment="1" applyProtection="1">
      <alignment horizontal="center"/>
      <protection hidden="1"/>
    </xf>
    <xf numFmtId="10" fontId="5" fillId="0" borderId="48" xfId="8" applyNumberFormat="1" applyFont="1" applyBorder="1" applyAlignment="1" applyProtection="1">
      <alignment horizontal="center"/>
      <protection hidden="1"/>
    </xf>
    <xf numFmtId="0" fontId="5" fillId="3" borderId="1" xfId="0" applyFont="1" applyFill="1" applyBorder="1" applyAlignment="1" applyProtection="1">
      <alignment horizontal="left"/>
      <protection hidden="1"/>
    </xf>
    <xf numFmtId="0" fontId="6" fillId="0" borderId="0" xfId="0" applyFont="1" applyFill="1" applyBorder="1" applyAlignment="1" applyProtection="1">
      <alignment horizontal="left"/>
      <protection hidden="1"/>
    </xf>
    <xf numFmtId="0" fontId="5" fillId="0" borderId="18" xfId="5" applyFont="1" applyBorder="1" applyAlignment="1" applyProtection="1">
      <alignment horizontal="center"/>
      <protection hidden="1"/>
    </xf>
    <xf numFmtId="0" fontId="5" fillId="0" borderId="20" xfId="5" applyFont="1" applyBorder="1" applyAlignment="1" applyProtection="1">
      <alignment horizontal="center"/>
      <protection hidden="1"/>
    </xf>
    <xf numFmtId="0" fontId="5" fillId="0" borderId="11" xfId="5" applyFont="1" applyBorder="1" applyAlignment="1" applyProtection="1">
      <alignment horizontal="center"/>
      <protection hidden="1"/>
    </xf>
    <xf numFmtId="0" fontId="5" fillId="0" borderId="0" xfId="0" applyFont="1" applyFill="1" applyBorder="1" applyAlignment="1" applyProtection="1">
      <alignment horizontal="center"/>
      <protection hidden="1"/>
    </xf>
    <xf numFmtId="0" fontId="11" fillId="3" borderId="39" xfId="0" applyFont="1" applyFill="1" applyBorder="1" applyAlignment="1" applyProtection="1">
      <alignment horizontal="center"/>
      <protection hidden="1"/>
    </xf>
    <xf numFmtId="0" fontId="11" fillId="3" borderId="0" xfId="0" applyFont="1" applyFill="1" applyBorder="1" applyAlignment="1" applyProtection="1">
      <alignment horizontal="center"/>
      <protection hidden="1"/>
    </xf>
    <xf numFmtId="0" fontId="11" fillId="6" borderId="39" xfId="0" applyFont="1" applyFill="1" applyBorder="1" applyAlignment="1" applyProtection="1">
      <alignment horizontal="center"/>
      <protection hidden="1"/>
    </xf>
    <xf numFmtId="0" fontId="11" fillId="6" borderId="0" xfId="0" applyFont="1" applyFill="1" applyBorder="1" applyAlignment="1" applyProtection="1">
      <alignment horizontal="center"/>
      <protection hidden="1"/>
    </xf>
  </cellXfs>
  <cellStyles count="9">
    <cellStyle name="ANCLAS,REZONES Y SUS PARTES,DE FUNDICION,DE HIERRO O DE ACERO" xfId="1" xr:uid="{00000000-0005-0000-0000-000000000000}"/>
    <cellStyle name="Millares" xfId="2" builtinId="3"/>
    <cellStyle name="Millares_AMORTIZACION CON CONVERSION DE TASAS DE INTERES(2)" xfId="3" xr:uid="{00000000-0005-0000-0000-000002000000}"/>
    <cellStyle name="Moneda" xfId="4" builtinId="4"/>
    <cellStyle name="Normal" xfId="0" builtinId="0"/>
    <cellStyle name="Normal_AMORTIZACION CON CONVERSION DE TASAS DE INTERES(2)" xfId="5" xr:uid="{00000000-0005-0000-0000-000005000000}"/>
    <cellStyle name="Normal_EF_Ecoflora_definitivo_CxC 60 días_Agosto_28_06" xfId="6" xr:uid="{00000000-0005-0000-0000-000006000000}"/>
    <cellStyle name="Normal_Plan_Financiero_Citywe-modificado(2)" xfId="7" xr:uid="{00000000-0005-0000-0000-000007000000}"/>
    <cellStyle name="Porcentaje" xfId="8"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10.xml><?xml version="1.0" encoding="utf-8"?>
<ax:ocx xmlns:ax="http://schemas.microsoft.com/office/2006/activeX" xmlns:r="http://schemas.openxmlformats.org/officeDocument/2006/relationships" ax:classid="{D7053240-CE69-11CD-A777-00DD01143C57}" ax:persistence="persistStreamInit" r:id="rId1"/>
</file>

<file path=xl/activeX/activeX1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activeX/activeX6.xml><?xml version="1.0" encoding="utf-8"?>
<ax:ocx xmlns:ax="http://schemas.microsoft.com/office/2006/activeX" xmlns:r="http://schemas.openxmlformats.org/officeDocument/2006/relationships" ax:classid="{D7053240-CE69-11CD-A777-00DD01143C57}" ax:persistence="persistStreamInit" r:id="rId1"/>
</file>

<file path=xl/activeX/activeX7.xml><?xml version="1.0" encoding="utf-8"?>
<ax:ocx xmlns:ax="http://schemas.microsoft.com/office/2006/activeX" xmlns:r="http://schemas.openxmlformats.org/officeDocument/2006/relationships" ax:classid="{D7053240-CE69-11CD-A777-00DD01143C57}" ax:persistence="persistStreamInit" r:id="rId1"/>
</file>

<file path=xl/activeX/activeX8.xml><?xml version="1.0" encoding="utf-8"?>
<ax:ocx xmlns:ax="http://schemas.microsoft.com/office/2006/activeX" xmlns:r="http://schemas.openxmlformats.org/officeDocument/2006/relationships" ax:classid="{D7053240-CE69-11CD-A777-00DD01143C57}" ax:persistence="persistStreamInit" r:id="rId1"/>
</file>

<file path=xl/activeX/activeX9.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s-CO"/>
              <a:t>ESTADO DE RESULTADOS PROYECTADOS</a:t>
            </a:r>
          </a:p>
        </c:rich>
      </c:tx>
      <c:layout>
        <c:manualLayout>
          <c:xMode val="edge"/>
          <c:yMode val="edge"/>
          <c:x val="0.28174665666791654"/>
          <c:y val="3.4591194968553458E-2"/>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0.17773611631879346"/>
          <c:y val="0.24748078051322958"/>
          <c:w val="0.71115277257009546"/>
          <c:h val="0.53554025889672241"/>
        </c:manualLayout>
      </c:layout>
      <c:barChart>
        <c:barDir val="col"/>
        <c:grouping val="clustered"/>
        <c:varyColors val="0"/>
        <c:ser>
          <c:idx val="0"/>
          <c:order val="0"/>
          <c:tx>
            <c:v>Ventas</c:v>
          </c:tx>
          <c:spPr>
            <a:gradFill flip="none" rotWithShape="1">
              <a:gsLst>
                <a:gs pos="0">
                  <a:schemeClr val="accent1"/>
                </a:gs>
                <a:gs pos="75000">
                  <a:schemeClr val="accent1">
                    <a:lumMod val="60000"/>
                    <a:lumOff val="40000"/>
                  </a:schemeClr>
                </a:gs>
                <a:gs pos="51000">
                  <a:schemeClr val="accent1">
                    <a:alpha val="75000"/>
                  </a:schemeClr>
                </a:gs>
                <a:gs pos="100000">
                  <a:schemeClr val="accent1">
                    <a:lumMod val="20000"/>
                    <a:lumOff val="80000"/>
                    <a:alpha val="15000"/>
                  </a:schemeClr>
                </a:gs>
              </a:gsLst>
              <a:lin ang="5400000" scaled="0"/>
            </a:gradFill>
            <a:ln>
              <a:noFill/>
            </a:ln>
            <a:effectLst/>
          </c:spPr>
          <c:invertIfNegative val="0"/>
          <c:cat>
            <c:strRef>
              <c:f>'BG_P&amp;G'!$C$11:$H$11</c:f>
              <c:strCache>
                <c:ptCount val="6"/>
                <c:pt idx="0">
                  <c:v>AÑO 1</c:v>
                </c:pt>
                <c:pt idx="1">
                  <c:v>AÑO 2</c:v>
                </c:pt>
                <c:pt idx="2">
                  <c:v>AÑO 3</c:v>
                </c:pt>
                <c:pt idx="3">
                  <c:v>AÑO 4</c:v>
                </c:pt>
                <c:pt idx="4">
                  <c:v>AÑO 5</c:v>
                </c:pt>
                <c:pt idx="5">
                  <c:v>AÑO 6</c:v>
                </c:pt>
              </c:strCache>
            </c:strRef>
          </c:cat>
          <c:val>
            <c:numRef>
              <c:f>'BG_P&amp;G'!$C$13:$H$13</c:f>
              <c:numCache>
                <c:formatCode>#,##0</c:formatCode>
                <c:ptCount val="6"/>
                <c:pt idx="0">
                  <c:v>1501721539.4880002</c:v>
                </c:pt>
                <c:pt idx="1">
                  <c:v>1613252725.94906</c:v>
                </c:pt>
                <c:pt idx="2">
                  <c:v>1738102599.639127</c:v>
                </c:pt>
                <c:pt idx="3">
                  <c:v>1883474925.2466183</c:v>
                </c:pt>
                <c:pt idx="4">
                  <c:v>2052752672.0482793</c:v>
                </c:pt>
                <c:pt idx="5">
                  <c:v>2250052766.5631919</c:v>
                </c:pt>
              </c:numCache>
            </c:numRef>
          </c:val>
          <c:extLst>
            <c:ext xmlns:c16="http://schemas.microsoft.com/office/drawing/2014/chart" uri="{C3380CC4-5D6E-409C-BE32-E72D297353CC}">
              <c16:uniqueId val="{00000000-04C6-4666-A4A0-607785B3019F}"/>
            </c:ext>
          </c:extLst>
        </c:ser>
        <c:ser>
          <c:idx val="1"/>
          <c:order val="1"/>
          <c:tx>
            <c:v>Utilidad Bruta</c:v>
          </c:tx>
          <c:spPr>
            <a:gradFill flip="none" rotWithShape="1">
              <a:gsLst>
                <a:gs pos="0">
                  <a:schemeClr val="accent2"/>
                </a:gs>
                <a:gs pos="75000">
                  <a:schemeClr val="accent2">
                    <a:lumMod val="60000"/>
                    <a:lumOff val="40000"/>
                  </a:schemeClr>
                </a:gs>
                <a:gs pos="51000">
                  <a:schemeClr val="accent2">
                    <a:alpha val="75000"/>
                  </a:schemeClr>
                </a:gs>
                <a:gs pos="100000">
                  <a:schemeClr val="accent2">
                    <a:lumMod val="20000"/>
                    <a:lumOff val="80000"/>
                    <a:alpha val="15000"/>
                  </a:schemeClr>
                </a:gs>
              </a:gsLst>
              <a:lin ang="5400000" scaled="0"/>
            </a:gradFill>
            <a:ln>
              <a:noFill/>
            </a:ln>
            <a:effectLst/>
          </c:spPr>
          <c:invertIfNegative val="0"/>
          <c:cat>
            <c:strRef>
              <c:f>'BG_P&amp;G'!$C$11:$H$11</c:f>
              <c:strCache>
                <c:ptCount val="6"/>
                <c:pt idx="0">
                  <c:v>AÑO 1</c:v>
                </c:pt>
                <c:pt idx="1">
                  <c:v>AÑO 2</c:v>
                </c:pt>
                <c:pt idx="2">
                  <c:v>AÑO 3</c:v>
                </c:pt>
                <c:pt idx="3">
                  <c:v>AÑO 4</c:v>
                </c:pt>
                <c:pt idx="4">
                  <c:v>AÑO 5</c:v>
                </c:pt>
                <c:pt idx="5">
                  <c:v>AÑO 6</c:v>
                </c:pt>
              </c:strCache>
            </c:strRef>
          </c:cat>
          <c:val>
            <c:numRef>
              <c:f>'BG_P&amp;G'!$C$15:$H$15</c:f>
              <c:numCache>
                <c:formatCode>#,##0</c:formatCode>
                <c:ptCount val="6"/>
                <c:pt idx="0">
                  <c:v>448396622.82000017</c:v>
                </c:pt>
                <c:pt idx="1">
                  <c:v>761657111.66636193</c:v>
                </c:pt>
                <c:pt idx="2">
                  <c:v>824255735.28600693</c:v>
                </c:pt>
                <c:pt idx="3">
                  <c:v>897068820.57441056</c:v>
                </c:pt>
                <c:pt idx="4">
                  <c:v>981830576.15054107</c:v>
                </c:pt>
                <c:pt idx="5">
                  <c:v>1079920430.5508378</c:v>
                </c:pt>
              </c:numCache>
            </c:numRef>
          </c:val>
          <c:extLst>
            <c:ext xmlns:c16="http://schemas.microsoft.com/office/drawing/2014/chart" uri="{C3380CC4-5D6E-409C-BE32-E72D297353CC}">
              <c16:uniqueId val="{00000001-04C6-4666-A4A0-607785B3019F}"/>
            </c:ext>
          </c:extLst>
        </c:ser>
        <c:ser>
          <c:idx val="2"/>
          <c:order val="2"/>
          <c:tx>
            <c:v>Utilidad Operativa</c:v>
          </c:tx>
          <c:spPr>
            <a:gradFill flip="none" rotWithShape="1">
              <a:gsLst>
                <a:gs pos="0">
                  <a:schemeClr val="accent3"/>
                </a:gs>
                <a:gs pos="75000">
                  <a:schemeClr val="accent3">
                    <a:lumMod val="60000"/>
                    <a:lumOff val="40000"/>
                  </a:schemeClr>
                </a:gs>
                <a:gs pos="51000">
                  <a:schemeClr val="accent3">
                    <a:alpha val="75000"/>
                  </a:schemeClr>
                </a:gs>
                <a:gs pos="100000">
                  <a:schemeClr val="accent3">
                    <a:lumMod val="20000"/>
                    <a:lumOff val="80000"/>
                    <a:alpha val="15000"/>
                  </a:schemeClr>
                </a:gs>
              </a:gsLst>
              <a:lin ang="5400000" scaled="0"/>
            </a:gradFill>
            <a:ln>
              <a:noFill/>
            </a:ln>
            <a:effectLst/>
          </c:spPr>
          <c:invertIfNegative val="0"/>
          <c:cat>
            <c:strRef>
              <c:f>'BG_P&amp;G'!$C$11:$H$11</c:f>
              <c:strCache>
                <c:ptCount val="6"/>
                <c:pt idx="0">
                  <c:v>AÑO 1</c:v>
                </c:pt>
                <c:pt idx="1">
                  <c:v>AÑO 2</c:v>
                </c:pt>
                <c:pt idx="2">
                  <c:v>AÑO 3</c:v>
                </c:pt>
                <c:pt idx="3">
                  <c:v>AÑO 4</c:v>
                </c:pt>
                <c:pt idx="4">
                  <c:v>AÑO 5</c:v>
                </c:pt>
                <c:pt idx="5">
                  <c:v>AÑO 6</c:v>
                </c:pt>
              </c:strCache>
            </c:strRef>
          </c:cat>
          <c:val>
            <c:numRef>
              <c:f>'BG_P&amp;G'!$C$22:$H$22</c:f>
              <c:numCache>
                <c:formatCode>#,##0</c:formatCode>
                <c:ptCount val="6"/>
                <c:pt idx="0">
                  <c:v>164951233.84560016</c:v>
                </c:pt>
                <c:pt idx="1">
                  <c:v>547871367.23436201</c:v>
                </c:pt>
                <c:pt idx="2">
                  <c:v>602941899.57986295</c:v>
                </c:pt>
                <c:pt idx="3">
                  <c:v>666731354.89248359</c:v>
                </c:pt>
                <c:pt idx="4">
                  <c:v>740806975.60890281</c:v>
                </c:pt>
                <c:pt idx="5">
                  <c:v>847800022.16399527</c:v>
                </c:pt>
              </c:numCache>
            </c:numRef>
          </c:val>
          <c:extLst>
            <c:ext xmlns:c16="http://schemas.microsoft.com/office/drawing/2014/chart" uri="{C3380CC4-5D6E-409C-BE32-E72D297353CC}">
              <c16:uniqueId val="{00000002-04C6-4666-A4A0-607785B3019F}"/>
            </c:ext>
          </c:extLst>
        </c:ser>
        <c:ser>
          <c:idx val="3"/>
          <c:order val="3"/>
          <c:tx>
            <c:v>Utilidad Neta</c:v>
          </c:tx>
          <c:spPr>
            <a:gradFill flip="none" rotWithShape="1">
              <a:gsLst>
                <a:gs pos="0">
                  <a:schemeClr val="accent4"/>
                </a:gs>
                <a:gs pos="75000">
                  <a:schemeClr val="accent4">
                    <a:lumMod val="60000"/>
                    <a:lumOff val="40000"/>
                  </a:schemeClr>
                </a:gs>
                <a:gs pos="51000">
                  <a:schemeClr val="accent4">
                    <a:alpha val="75000"/>
                  </a:schemeClr>
                </a:gs>
                <a:gs pos="100000">
                  <a:schemeClr val="accent4">
                    <a:lumMod val="20000"/>
                    <a:lumOff val="80000"/>
                    <a:alpha val="15000"/>
                  </a:schemeClr>
                </a:gs>
              </a:gsLst>
              <a:lin ang="5400000" scaled="0"/>
            </a:gradFill>
            <a:ln>
              <a:noFill/>
            </a:ln>
            <a:effectLst/>
          </c:spPr>
          <c:invertIfNegative val="0"/>
          <c:cat>
            <c:strRef>
              <c:f>'BG_P&amp;G'!$C$11:$H$11</c:f>
              <c:strCache>
                <c:ptCount val="6"/>
                <c:pt idx="0">
                  <c:v>AÑO 1</c:v>
                </c:pt>
                <c:pt idx="1">
                  <c:v>AÑO 2</c:v>
                </c:pt>
                <c:pt idx="2">
                  <c:v>AÑO 3</c:v>
                </c:pt>
                <c:pt idx="3">
                  <c:v>AÑO 4</c:v>
                </c:pt>
                <c:pt idx="4">
                  <c:v>AÑO 5</c:v>
                </c:pt>
                <c:pt idx="5">
                  <c:v>AÑO 6</c:v>
                </c:pt>
              </c:strCache>
            </c:strRef>
          </c:cat>
          <c:val>
            <c:numRef>
              <c:f>'BG_P&amp;G'!$C$36:$H$36</c:f>
              <c:numCache>
                <c:formatCode>#,##0</c:formatCode>
                <c:ptCount val="6"/>
                <c:pt idx="0">
                  <c:v>73935744.712029874</c:v>
                </c:pt>
                <c:pt idx="1">
                  <c:v>308205417.93542171</c:v>
                </c:pt>
                <c:pt idx="2">
                  <c:v>345765330.53285706</c:v>
                </c:pt>
                <c:pt idx="3">
                  <c:v>388556596.91056418</c:v>
                </c:pt>
                <c:pt idx="4">
                  <c:v>437519562.53055054</c:v>
                </c:pt>
                <c:pt idx="5">
                  <c:v>508680013.29839712</c:v>
                </c:pt>
              </c:numCache>
            </c:numRef>
          </c:val>
          <c:extLst>
            <c:ext xmlns:c16="http://schemas.microsoft.com/office/drawing/2014/chart" uri="{C3380CC4-5D6E-409C-BE32-E72D297353CC}">
              <c16:uniqueId val="{00000003-04C6-4666-A4A0-607785B3019F}"/>
            </c:ext>
          </c:extLst>
        </c:ser>
        <c:dLbls>
          <c:showLegendKey val="0"/>
          <c:showVal val="0"/>
          <c:showCatName val="0"/>
          <c:showSerName val="0"/>
          <c:showPercent val="0"/>
          <c:showBubbleSize val="0"/>
        </c:dLbls>
        <c:gapWidth val="355"/>
        <c:overlap val="-70"/>
        <c:axId val="172421807"/>
        <c:axId val="1"/>
      </c:barChart>
      <c:catAx>
        <c:axId val="172421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
        <c:crosses val="autoZero"/>
        <c:auto val="1"/>
        <c:lblAlgn val="ctr"/>
        <c:lblOffset val="100"/>
        <c:tickLblSkip val="1"/>
        <c:tickMarkSkip val="1"/>
        <c:noMultiLvlLbl val="0"/>
      </c:catAx>
      <c:valAx>
        <c:axId val="1"/>
        <c:scaling>
          <c:orientation val="minMax"/>
        </c:scaling>
        <c:delete val="0"/>
        <c:axPos val="l"/>
        <c:majorGridlines>
          <c:spPr>
            <a:ln w="9525" cap="flat" cmpd="sng" algn="ctr">
              <a:gradFill>
                <a:gsLst>
                  <a:gs pos="100000">
                    <a:schemeClr val="tx1">
                      <a:lumMod val="5000"/>
                      <a:lumOff val="95000"/>
                    </a:schemeClr>
                  </a:gs>
                  <a:gs pos="0">
                    <a:schemeClr val="tx1">
                      <a:lumMod val="25000"/>
                      <a:lumOff val="75000"/>
                    </a:schemeClr>
                  </a:gs>
                </a:gsLst>
                <a:lin ang="5400000" scaled="0"/>
              </a:gra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24218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noFill/>
    <a:ln w="9525" cap="flat" cmpd="sng" algn="ctr">
      <a:noFill/>
      <a:round/>
    </a:ln>
    <a:effectLst/>
  </c:spPr>
  <c:txPr>
    <a:bodyPr/>
    <a:lstStyle/>
    <a:p>
      <a:pPr>
        <a:defRPr/>
      </a:pPr>
      <a:endParaRPr lang="es-MX"/>
    </a:p>
  </c:txPr>
  <c:printSettings>
    <c:headerFooter alignWithMargins="0"/>
    <c:pageMargins b="1" l="0.75000000000000144" r="0.75000000000000144"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s-CO"/>
              <a:t>BALANCE GENERAL PROYECTADO</a:t>
            </a:r>
          </a:p>
        </c:rich>
      </c:tx>
      <c:layout>
        <c:manualLayout>
          <c:xMode val="edge"/>
          <c:yMode val="edge"/>
          <c:x val="0.15445099302706922"/>
          <c:y val="4.7192526722642153E-2"/>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0.18421634421445823"/>
          <c:y val="0.2264841079740933"/>
          <c:w val="0.73860468040297367"/>
          <c:h val="0.55653710013606894"/>
        </c:manualLayout>
      </c:layout>
      <c:barChart>
        <c:barDir val="col"/>
        <c:grouping val="clustered"/>
        <c:varyColors val="0"/>
        <c:ser>
          <c:idx val="0"/>
          <c:order val="0"/>
          <c:tx>
            <c:strRef>
              <c:f>'BG_P&amp;G'!$B$74</c:f>
              <c:strCache>
                <c:ptCount val="1"/>
                <c:pt idx="0">
                  <c:v>Total Activos</c:v>
                </c:pt>
              </c:strCache>
            </c:strRef>
          </c:tx>
          <c:spPr>
            <a:gradFill flip="none" rotWithShape="1">
              <a:gsLst>
                <a:gs pos="0">
                  <a:schemeClr val="accent1"/>
                </a:gs>
                <a:gs pos="75000">
                  <a:schemeClr val="accent1">
                    <a:lumMod val="60000"/>
                    <a:lumOff val="40000"/>
                  </a:schemeClr>
                </a:gs>
                <a:gs pos="51000">
                  <a:schemeClr val="accent1">
                    <a:alpha val="75000"/>
                  </a:schemeClr>
                </a:gs>
                <a:gs pos="100000">
                  <a:schemeClr val="accent1">
                    <a:lumMod val="20000"/>
                    <a:lumOff val="80000"/>
                    <a:alpha val="15000"/>
                  </a:schemeClr>
                </a:gs>
              </a:gsLst>
              <a:lin ang="5400000" scaled="0"/>
            </a:gradFill>
            <a:ln>
              <a:noFill/>
            </a:ln>
            <a:effectLst/>
          </c:spPr>
          <c:invertIfNegative val="0"/>
          <c:cat>
            <c:strRef>
              <c:f>'BG_P&amp;G'!$C$52:$I$52</c:f>
              <c:strCache>
                <c:ptCount val="7"/>
                <c:pt idx="0">
                  <c:v>Inicial</c:v>
                </c:pt>
                <c:pt idx="1">
                  <c:v>AÑO 1</c:v>
                </c:pt>
                <c:pt idx="2">
                  <c:v>AÑO 2</c:v>
                </c:pt>
                <c:pt idx="3">
                  <c:v>AÑO 3</c:v>
                </c:pt>
                <c:pt idx="4">
                  <c:v>AÑO 4</c:v>
                </c:pt>
                <c:pt idx="5">
                  <c:v>AÑO 5</c:v>
                </c:pt>
                <c:pt idx="6">
                  <c:v>AÑO 6</c:v>
                </c:pt>
              </c:strCache>
            </c:strRef>
          </c:cat>
          <c:val>
            <c:numRef>
              <c:f>'BG_P&amp;G'!$C$74:$I$74</c:f>
              <c:numCache>
                <c:formatCode>#,##0_ ;[Red]\-#,##0\ </c:formatCode>
                <c:ptCount val="7"/>
                <c:pt idx="0">
                  <c:v>309029661.67544001</c:v>
                </c:pt>
                <c:pt idx="1">
                  <c:v>384084292.5829165</c:v>
                </c:pt>
                <c:pt idx="2">
                  <c:v>800297882.38802612</c:v>
                </c:pt>
                <c:pt idx="3">
                  <c:v>1122931544.3732665</c:v>
                </c:pt>
                <c:pt idx="4">
                  <c:v>1491844041.9230623</c:v>
                </c:pt>
                <c:pt idx="5">
                  <c:v>1913833971.2543638</c:v>
                </c:pt>
                <c:pt idx="6">
                  <c:v>2421782674.7854185</c:v>
                </c:pt>
              </c:numCache>
            </c:numRef>
          </c:val>
          <c:extLst>
            <c:ext xmlns:c16="http://schemas.microsoft.com/office/drawing/2014/chart" uri="{C3380CC4-5D6E-409C-BE32-E72D297353CC}">
              <c16:uniqueId val="{00000000-8428-419E-B576-8D1E23B5DDF1}"/>
            </c:ext>
          </c:extLst>
        </c:ser>
        <c:ser>
          <c:idx val="1"/>
          <c:order val="1"/>
          <c:tx>
            <c:strRef>
              <c:f>'BG_P&amp;G'!$B$85</c:f>
              <c:strCache>
                <c:ptCount val="1"/>
                <c:pt idx="0">
                  <c:v>Total Pasivos</c:v>
                </c:pt>
              </c:strCache>
            </c:strRef>
          </c:tx>
          <c:spPr>
            <a:gradFill flip="none" rotWithShape="1">
              <a:gsLst>
                <a:gs pos="0">
                  <a:schemeClr val="accent2"/>
                </a:gs>
                <a:gs pos="75000">
                  <a:schemeClr val="accent2">
                    <a:lumMod val="60000"/>
                    <a:lumOff val="40000"/>
                  </a:schemeClr>
                </a:gs>
                <a:gs pos="51000">
                  <a:schemeClr val="accent2">
                    <a:alpha val="75000"/>
                  </a:schemeClr>
                </a:gs>
                <a:gs pos="100000">
                  <a:schemeClr val="accent2">
                    <a:lumMod val="20000"/>
                    <a:lumOff val="80000"/>
                    <a:alpha val="15000"/>
                  </a:schemeClr>
                </a:gs>
              </a:gsLst>
              <a:lin ang="5400000" scaled="0"/>
            </a:gradFill>
            <a:ln>
              <a:noFill/>
            </a:ln>
            <a:effectLst/>
          </c:spPr>
          <c:invertIfNegative val="0"/>
          <c:cat>
            <c:strRef>
              <c:f>'BG_P&amp;G'!$C$52:$I$52</c:f>
              <c:strCache>
                <c:ptCount val="7"/>
                <c:pt idx="0">
                  <c:v>Inicial</c:v>
                </c:pt>
                <c:pt idx="1">
                  <c:v>AÑO 1</c:v>
                </c:pt>
                <c:pt idx="2">
                  <c:v>AÑO 2</c:v>
                </c:pt>
                <c:pt idx="3">
                  <c:v>AÑO 3</c:v>
                </c:pt>
                <c:pt idx="4">
                  <c:v>AÑO 4</c:v>
                </c:pt>
                <c:pt idx="5">
                  <c:v>AÑO 5</c:v>
                </c:pt>
                <c:pt idx="6">
                  <c:v>AÑO 6</c:v>
                </c:pt>
              </c:strCache>
            </c:strRef>
          </c:cat>
          <c:val>
            <c:numRef>
              <c:f>'BG_P&amp;G'!$C$85:$I$85</c:f>
              <c:numCache>
                <c:formatCode>#,##0_ ;[Red]\-#,##0\ </c:formatCode>
                <c:ptCount val="7"/>
                <c:pt idx="0">
                  <c:v>289029661.67544001</c:v>
                </c:pt>
                <c:pt idx="1">
                  <c:v>290148547.87088668</c:v>
                </c:pt>
                <c:pt idx="2">
                  <c:v>398156719.74057472</c:v>
                </c:pt>
                <c:pt idx="3">
                  <c:v>375025051.19295841</c:v>
                </c:pt>
                <c:pt idx="4">
                  <c:v>355380951.8321898</c:v>
                </c:pt>
                <c:pt idx="5">
                  <c:v>339851318.63294059</c:v>
                </c:pt>
                <c:pt idx="6">
                  <c:v>339120008.86559838</c:v>
                </c:pt>
              </c:numCache>
            </c:numRef>
          </c:val>
          <c:extLst>
            <c:ext xmlns:c16="http://schemas.microsoft.com/office/drawing/2014/chart" uri="{C3380CC4-5D6E-409C-BE32-E72D297353CC}">
              <c16:uniqueId val="{00000001-8428-419E-B576-8D1E23B5DDF1}"/>
            </c:ext>
          </c:extLst>
        </c:ser>
        <c:ser>
          <c:idx val="2"/>
          <c:order val="2"/>
          <c:tx>
            <c:strRef>
              <c:f>'BG_P&amp;G'!$B$93</c:f>
              <c:strCache>
                <c:ptCount val="1"/>
                <c:pt idx="0">
                  <c:v>Total Patrimonio</c:v>
                </c:pt>
              </c:strCache>
            </c:strRef>
          </c:tx>
          <c:spPr>
            <a:gradFill flip="none" rotWithShape="1">
              <a:gsLst>
                <a:gs pos="0">
                  <a:schemeClr val="accent3"/>
                </a:gs>
                <a:gs pos="75000">
                  <a:schemeClr val="accent3">
                    <a:lumMod val="60000"/>
                    <a:lumOff val="40000"/>
                  </a:schemeClr>
                </a:gs>
                <a:gs pos="51000">
                  <a:schemeClr val="accent3">
                    <a:alpha val="75000"/>
                  </a:schemeClr>
                </a:gs>
                <a:gs pos="100000">
                  <a:schemeClr val="accent3">
                    <a:lumMod val="20000"/>
                    <a:lumOff val="80000"/>
                    <a:alpha val="15000"/>
                  </a:schemeClr>
                </a:gs>
              </a:gsLst>
              <a:lin ang="5400000" scaled="0"/>
            </a:gradFill>
            <a:ln>
              <a:noFill/>
            </a:ln>
            <a:effectLst/>
          </c:spPr>
          <c:invertIfNegative val="0"/>
          <c:cat>
            <c:strRef>
              <c:f>'BG_P&amp;G'!$C$52:$I$52</c:f>
              <c:strCache>
                <c:ptCount val="7"/>
                <c:pt idx="0">
                  <c:v>Inicial</c:v>
                </c:pt>
                <c:pt idx="1">
                  <c:v>AÑO 1</c:v>
                </c:pt>
                <c:pt idx="2">
                  <c:v>AÑO 2</c:v>
                </c:pt>
                <c:pt idx="3">
                  <c:v>AÑO 3</c:v>
                </c:pt>
                <c:pt idx="4">
                  <c:v>AÑO 4</c:v>
                </c:pt>
                <c:pt idx="5">
                  <c:v>AÑO 5</c:v>
                </c:pt>
                <c:pt idx="6">
                  <c:v>AÑO 6</c:v>
                </c:pt>
              </c:strCache>
            </c:strRef>
          </c:cat>
          <c:val>
            <c:numRef>
              <c:f>'BG_P&amp;G'!$C$93:$I$93</c:f>
              <c:numCache>
                <c:formatCode>#,##0_ ;[Red]\-#,##0\ </c:formatCode>
                <c:ptCount val="7"/>
                <c:pt idx="0">
                  <c:v>20000000</c:v>
                </c:pt>
                <c:pt idx="1">
                  <c:v>93935744.712029874</c:v>
                </c:pt>
                <c:pt idx="2">
                  <c:v>402141162.64745158</c:v>
                </c:pt>
                <c:pt idx="3">
                  <c:v>747906493.18030858</c:v>
                </c:pt>
                <c:pt idx="4">
                  <c:v>1136463090.0908728</c:v>
                </c:pt>
                <c:pt idx="5">
                  <c:v>1573982652.6214232</c:v>
                </c:pt>
                <c:pt idx="6">
                  <c:v>2082662665.9198203</c:v>
                </c:pt>
              </c:numCache>
            </c:numRef>
          </c:val>
          <c:extLst>
            <c:ext xmlns:c16="http://schemas.microsoft.com/office/drawing/2014/chart" uri="{C3380CC4-5D6E-409C-BE32-E72D297353CC}">
              <c16:uniqueId val="{00000002-8428-419E-B576-8D1E23B5DDF1}"/>
            </c:ext>
          </c:extLst>
        </c:ser>
        <c:dLbls>
          <c:showLegendKey val="0"/>
          <c:showVal val="0"/>
          <c:showCatName val="0"/>
          <c:showSerName val="0"/>
          <c:showPercent val="0"/>
          <c:showBubbleSize val="0"/>
        </c:dLbls>
        <c:gapWidth val="355"/>
        <c:overlap val="-70"/>
        <c:axId val="172420143"/>
        <c:axId val="1"/>
      </c:barChart>
      <c:catAx>
        <c:axId val="1724201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
        <c:crosses val="autoZero"/>
        <c:auto val="1"/>
        <c:lblAlgn val="ctr"/>
        <c:lblOffset val="100"/>
        <c:tickLblSkip val="1"/>
        <c:tickMarkSkip val="1"/>
        <c:noMultiLvlLbl val="0"/>
      </c:catAx>
      <c:valAx>
        <c:axId val="1"/>
        <c:scaling>
          <c:orientation val="minMax"/>
        </c:scaling>
        <c:delete val="0"/>
        <c:axPos val="l"/>
        <c:majorGridlines>
          <c:spPr>
            <a:ln w="9525" cap="flat" cmpd="sng" algn="ctr">
              <a:gradFill>
                <a:gsLst>
                  <a:gs pos="100000">
                    <a:schemeClr val="tx1">
                      <a:lumMod val="5000"/>
                      <a:lumOff val="95000"/>
                    </a:schemeClr>
                  </a:gs>
                  <a:gs pos="0">
                    <a:schemeClr val="tx1">
                      <a:lumMod val="25000"/>
                      <a:lumOff val="75000"/>
                    </a:schemeClr>
                  </a:gs>
                </a:gsLst>
                <a:lin ang="5400000" scaled="0"/>
              </a:gradFill>
              <a:round/>
            </a:ln>
            <a:effectLst/>
          </c:spPr>
        </c:majorGridlines>
        <c:numFmt formatCode="#,##0_ ;[Red]\-#,##0\ "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24201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noFill/>
    <a:ln w="9525" cap="flat" cmpd="sng" algn="ctr">
      <a:noFill/>
      <a:round/>
    </a:ln>
    <a:effectLst/>
  </c:spPr>
  <c:txPr>
    <a:bodyPr/>
    <a:lstStyle/>
    <a:p>
      <a:pPr>
        <a:defRPr/>
      </a:pPr>
      <a:endParaRPr lang="es-MX"/>
    </a:p>
  </c:txPr>
  <c:printSettings>
    <c:headerFooter alignWithMargins="0"/>
    <c:pageMargins b="1" l="0.75000000000000144" r="0.75000000000000144"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7611506645501649"/>
          <c:y val="4.6896202681407463E-2"/>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0.20546707110712958"/>
          <c:y val="0.2093749024337741"/>
          <c:w val="0.74532719338226427"/>
          <c:h val="0.53125"/>
        </c:manualLayout>
      </c:layout>
      <c:barChart>
        <c:barDir val="col"/>
        <c:grouping val="clustered"/>
        <c:varyColors val="0"/>
        <c:ser>
          <c:idx val="0"/>
          <c:order val="0"/>
          <c:tx>
            <c:strRef>
              <c:f>Valoracion!$B$31</c:f>
              <c:strCache>
                <c:ptCount val="1"/>
                <c:pt idx="0">
                  <c:v>Flujo de Caja Libre</c:v>
                </c:pt>
              </c:strCache>
            </c:strRef>
          </c:tx>
          <c:spPr>
            <a:gradFill flip="none" rotWithShape="1">
              <a:gsLst>
                <a:gs pos="0">
                  <a:schemeClr val="accent1"/>
                </a:gs>
                <a:gs pos="75000">
                  <a:schemeClr val="accent1">
                    <a:lumMod val="60000"/>
                    <a:lumOff val="40000"/>
                  </a:schemeClr>
                </a:gs>
                <a:gs pos="51000">
                  <a:schemeClr val="accent1">
                    <a:alpha val="75000"/>
                  </a:schemeClr>
                </a:gs>
                <a:gs pos="100000">
                  <a:schemeClr val="accent1">
                    <a:lumMod val="20000"/>
                    <a:lumOff val="80000"/>
                    <a:alpha val="15000"/>
                  </a:schemeClr>
                </a:gs>
              </a:gsLst>
              <a:lin ang="5400000" scaled="0"/>
            </a:gradFill>
            <a:ln>
              <a:noFill/>
            </a:ln>
            <a:effectLst/>
          </c:spPr>
          <c:invertIfNegative val="0"/>
          <c:cat>
            <c:strRef>
              <c:f>Valoracion!$C$15:$J$15</c:f>
              <c:strCache>
                <c:ptCount val="8"/>
                <c:pt idx="0">
                  <c:v>Inicial</c:v>
                </c:pt>
                <c:pt idx="1">
                  <c:v>AÑO 1</c:v>
                </c:pt>
                <c:pt idx="2">
                  <c:v>AÑO 2</c:v>
                </c:pt>
                <c:pt idx="3">
                  <c:v>AÑO 3</c:v>
                </c:pt>
                <c:pt idx="4">
                  <c:v>AÑO 4</c:v>
                </c:pt>
                <c:pt idx="5">
                  <c:v>AÑO 5</c:v>
                </c:pt>
                <c:pt idx="6">
                  <c:v>AÑO 6</c:v>
                </c:pt>
                <c:pt idx="7">
                  <c:v>Valor Residual</c:v>
                </c:pt>
              </c:strCache>
            </c:strRef>
          </c:cat>
          <c:val>
            <c:numRef>
              <c:f>Valoracion!$C$31:$J$31</c:f>
              <c:numCache>
                <c:formatCode>"$"#,##0_);[Red]\("$"#,##0\)</c:formatCode>
                <c:ptCount val="8"/>
                <c:pt idx="0">
                  <c:v>-309029661.67544001</c:v>
                </c:pt>
                <c:pt idx="1">
                  <c:v>371469698.45748669</c:v>
                </c:pt>
                <c:pt idx="2">
                  <c:v>506357902.48954511</c:v>
                </c:pt>
                <c:pt idx="3">
                  <c:v>408260381.4795413</c:v>
                </c:pt>
                <c:pt idx="4">
                  <c:v>450021623.85396159</c:v>
                </c:pt>
                <c:pt idx="5">
                  <c:v>498581462.44533253</c:v>
                </c:pt>
                <c:pt idx="6">
                  <c:v>556120313.81029487</c:v>
                </c:pt>
                <c:pt idx="7">
                  <c:v>2224481255.2411795</c:v>
                </c:pt>
              </c:numCache>
            </c:numRef>
          </c:val>
          <c:extLst>
            <c:ext xmlns:c16="http://schemas.microsoft.com/office/drawing/2014/chart" uri="{C3380CC4-5D6E-409C-BE32-E72D297353CC}">
              <c16:uniqueId val="{00000000-17C9-4407-BEED-4EFCF5593514}"/>
            </c:ext>
          </c:extLst>
        </c:ser>
        <c:dLbls>
          <c:showLegendKey val="0"/>
          <c:showVal val="0"/>
          <c:showCatName val="0"/>
          <c:showSerName val="0"/>
          <c:showPercent val="0"/>
          <c:showBubbleSize val="0"/>
        </c:dLbls>
        <c:gapWidth val="355"/>
        <c:overlap val="-70"/>
        <c:axId val="172422223"/>
        <c:axId val="1"/>
      </c:barChart>
      <c:catAx>
        <c:axId val="172422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
        <c:crosses val="autoZero"/>
        <c:auto val="1"/>
        <c:lblAlgn val="ctr"/>
        <c:lblOffset val="100"/>
        <c:tickLblSkip val="1"/>
        <c:tickMarkSkip val="1"/>
        <c:noMultiLvlLbl val="0"/>
      </c:catAx>
      <c:valAx>
        <c:axId val="1"/>
        <c:scaling>
          <c:orientation val="minMax"/>
        </c:scaling>
        <c:delete val="0"/>
        <c:axPos val="l"/>
        <c:majorGridlines>
          <c:spPr>
            <a:ln w="9525" cap="flat" cmpd="sng" algn="ctr">
              <a:gradFill>
                <a:gsLst>
                  <a:gs pos="100000">
                    <a:schemeClr val="tx1">
                      <a:lumMod val="5000"/>
                      <a:lumOff val="95000"/>
                    </a:schemeClr>
                  </a:gs>
                  <a:gs pos="0">
                    <a:schemeClr val="tx1">
                      <a:lumMod val="25000"/>
                      <a:lumOff val="75000"/>
                    </a:schemeClr>
                  </a:gs>
                </a:gsLst>
                <a:lin ang="5400000" scaled="0"/>
              </a:gradFill>
              <a:round/>
            </a:ln>
            <a:effectLst/>
          </c:spPr>
        </c:majorGridlines>
        <c:numFmt formatCode="&quot;$&quot;#,##0_);[Red]\(&quot;$&quot;#,##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24222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noFill/>
    <a:ln w="9525" cap="flat" cmpd="sng" algn="ctr">
      <a:noFill/>
      <a:round/>
    </a:ln>
    <a:effectLst/>
  </c:spPr>
  <c:txPr>
    <a:bodyPr/>
    <a:lstStyle/>
    <a:p>
      <a:pPr>
        <a:defRPr/>
      </a:pPr>
      <a:endParaRPr lang="es-MX"/>
    </a:p>
  </c:txPr>
  <c:printSettings>
    <c:headerFooter alignWithMargins="0"/>
    <c:pageMargins b="1" l="0.75000000000000144" r="0.75000000000000144"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MARGEN EBITDA</a:t>
            </a:r>
          </a:p>
        </c:rich>
      </c:tx>
      <c:layout>
        <c:manualLayout>
          <c:xMode val="edge"/>
          <c:yMode val="edge"/>
          <c:x val="0.35550651512241677"/>
          <c:y val="1.22100122100122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0.15521081105660495"/>
          <c:y val="0.15384670417920165"/>
          <c:w val="0.81374810939677167"/>
          <c:h val="0.65568000114469271"/>
        </c:manualLayout>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'BG_P&amp;G'!$C$108:$G$108</c:f>
              <c:numCache>
                <c:formatCode>0%</c:formatCode>
                <c:ptCount val="5"/>
                <c:pt idx="0">
                  <c:v>0.12412856108407019</c:v>
                </c:pt>
                <c:pt idx="1">
                  <c:v>0.35290606243943151</c:v>
                </c:pt>
                <c:pt idx="2">
                  <c:v>0.35924070288457266</c:v>
                </c:pt>
                <c:pt idx="3">
                  <c:v>0.36538137336889359</c:v>
                </c:pt>
                <c:pt idx="4">
                  <c:v>0.37133663786602294</c:v>
                </c:pt>
              </c:numCache>
            </c:numRef>
          </c:val>
          <c:smooth val="0"/>
          <c:extLst>
            <c:ext xmlns:c16="http://schemas.microsoft.com/office/drawing/2014/chart" uri="{C3380CC4-5D6E-409C-BE32-E72D297353CC}">
              <c16:uniqueId val="{00000000-72D1-425C-AA0C-287E109B7700}"/>
            </c:ext>
          </c:extLst>
        </c:ser>
        <c:dLbls>
          <c:showLegendKey val="0"/>
          <c:showVal val="0"/>
          <c:showCatName val="0"/>
          <c:showSerName val="0"/>
          <c:showPercent val="0"/>
          <c:showBubbleSize val="0"/>
        </c:dLbls>
        <c:smooth val="0"/>
        <c:axId val="1419900671"/>
        <c:axId val="1"/>
      </c:lineChart>
      <c:catAx>
        <c:axId val="141990067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AÑOS</a:t>
                </a:r>
              </a:p>
            </c:rich>
          </c:tx>
          <c:layout>
            <c:manualLayout>
              <c:xMode val="edge"/>
              <c:yMode val="edge"/>
              <c:x val="0.48115345892184763"/>
              <c:y val="0.9047649813004143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
        <c:crosses val="autoZero"/>
        <c:auto val="1"/>
        <c:lblAlgn val="ctr"/>
        <c:lblOffset val="100"/>
        <c:tickLblSkip val="1"/>
        <c:tickMarkSkip val="1"/>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419900671"/>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MX"/>
    </a:p>
  </c:txPr>
  <c:printSettings>
    <c:headerFooter alignWithMargins="0"/>
    <c:pageMargins b="1" l="0.75" r="0.75" t="1" header="0" footer="0"/>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Creditos!A1"/><Relationship Id="rId3" Type="http://schemas.openxmlformats.org/officeDocument/2006/relationships/hyperlink" Target="#Inversion!A1"/><Relationship Id="rId7" Type="http://schemas.openxmlformats.org/officeDocument/2006/relationships/hyperlink" Target="#Costos!A1"/><Relationship Id="rId2" Type="http://schemas.openxmlformats.org/officeDocument/2006/relationships/hyperlink" Target="#Gastos!A1"/><Relationship Id="rId1" Type="http://schemas.openxmlformats.org/officeDocument/2006/relationships/hyperlink" Target="#Supuestos!A1"/><Relationship Id="rId6" Type="http://schemas.openxmlformats.org/officeDocument/2006/relationships/hyperlink" Target="#'Capital de trabajo'!A1"/><Relationship Id="rId5" Type="http://schemas.openxmlformats.org/officeDocument/2006/relationships/hyperlink" Target="#Nomina!A1"/><Relationship Id="rId10" Type="http://schemas.openxmlformats.org/officeDocument/2006/relationships/hyperlink" Target="#Graficos!A1"/><Relationship Id="rId4" Type="http://schemas.openxmlformats.org/officeDocument/2006/relationships/hyperlink" Target="#Ingresos!A1"/><Relationship Id="rId9" Type="http://schemas.openxmlformats.org/officeDocument/2006/relationships/hyperlink" Target="#'BG_P&amp;G'!A1"/></Relationships>
</file>

<file path=xl/drawings/_rels/drawing1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1</xdr:col>
      <xdr:colOff>171450</xdr:colOff>
      <xdr:row>12</xdr:row>
      <xdr:rowOff>85725</xdr:rowOff>
    </xdr:from>
    <xdr:to>
      <xdr:col>6</xdr:col>
      <xdr:colOff>609600</xdr:colOff>
      <xdr:row>29</xdr:row>
      <xdr:rowOff>0</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933450" y="1990725"/>
          <a:ext cx="4200525" cy="2613025"/>
          <a:chOff x="8724900" y="2200275"/>
          <a:chExt cx="4210050" cy="2667000"/>
        </a:xfrm>
      </xdr:grpSpPr>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bwMode="auto">
          <a:xfrm>
            <a:off x="8724900" y="2219325"/>
            <a:ext cx="1304925" cy="552450"/>
          </a:xfrm>
          <a:prstGeom prst="roundRect">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wrap="square" lIns="18288" tIns="0" rIns="0" bIns="0" rtlCol="0" anchor="ctr" upright="1"/>
          <a:lstStyle/>
          <a:p>
            <a:pPr algn="ctr"/>
            <a:r>
              <a:rPr lang="es-CO" sz="1100" b="1"/>
              <a:t>Supuestos</a:t>
            </a:r>
          </a:p>
        </xdr:txBody>
      </xdr:sp>
      <xdr:sp macro="" textlink="">
        <xdr:nvSpPr>
          <xdr:cNvPr id="15" name="Rectángulo: esquinas redondeadas 14">
            <a:hlinkClick xmlns:r="http://schemas.openxmlformats.org/officeDocument/2006/relationships" r:id="rId2"/>
            <a:extLst>
              <a:ext uri="{FF2B5EF4-FFF2-40B4-BE49-F238E27FC236}">
                <a16:creationId xmlns:a16="http://schemas.microsoft.com/office/drawing/2014/main" id="{00000000-0008-0000-0000-00000F000000}"/>
              </a:ext>
            </a:extLst>
          </xdr:cNvPr>
          <xdr:cNvSpPr/>
        </xdr:nvSpPr>
        <xdr:spPr bwMode="auto">
          <a:xfrm>
            <a:off x="10191750" y="2219325"/>
            <a:ext cx="1304925" cy="552450"/>
          </a:xfrm>
          <a:prstGeom prst="roundRect">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wrap="square" lIns="18288" tIns="0" rIns="0" bIns="0" rtlCol="0" anchor="ctr" upright="1"/>
          <a:lstStyle/>
          <a:p>
            <a:pPr algn="ctr"/>
            <a:r>
              <a:rPr lang="es-CO" sz="1100" b="1"/>
              <a:t>Gastos</a:t>
            </a:r>
          </a:p>
        </xdr:txBody>
      </xdr:sp>
      <xdr:sp macro="" textlink="">
        <xdr:nvSpPr>
          <xdr:cNvPr id="16" name="Rectángulo: esquinas redondeadas 15">
            <a:hlinkClick xmlns:r="http://schemas.openxmlformats.org/officeDocument/2006/relationships" r:id="rId3"/>
            <a:extLst>
              <a:ext uri="{FF2B5EF4-FFF2-40B4-BE49-F238E27FC236}">
                <a16:creationId xmlns:a16="http://schemas.microsoft.com/office/drawing/2014/main" id="{00000000-0008-0000-0000-000010000000}"/>
              </a:ext>
            </a:extLst>
          </xdr:cNvPr>
          <xdr:cNvSpPr/>
        </xdr:nvSpPr>
        <xdr:spPr bwMode="auto">
          <a:xfrm>
            <a:off x="11601450" y="2200275"/>
            <a:ext cx="1304925" cy="552450"/>
          </a:xfrm>
          <a:prstGeom prst="roundRect">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wrap="square" lIns="18288" tIns="0" rIns="0" bIns="0" rtlCol="0" anchor="ctr" upright="1"/>
          <a:lstStyle/>
          <a:p>
            <a:pPr algn="ctr"/>
            <a:r>
              <a:rPr lang="es-CO" sz="1100" b="1"/>
              <a:t>Inversión</a:t>
            </a:r>
          </a:p>
        </xdr:txBody>
      </xdr:sp>
      <xdr:sp macro="" textlink="">
        <xdr:nvSpPr>
          <xdr:cNvPr id="17" name="Rectángulo: esquinas redondeadas 16">
            <a:hlinkClick xmlns:r="http://schemas.openxmlformats.org/officeDocument/2006/relationships" r:id="rId4"/>
            <a:extLst>
              <a:ext uri="{FF2B5EF4-FFF2-40B4-BE49-F238E27FC236}">
                <a16:creationId xmlns:a16="http://schemas.microsoft.com/office/drawing/2014/main" id="{00000000-0008-0000-0000-000011000000}"/>
              </a:ext>
            </a:extLst>
          </xdr:cNvPr>
          <xdr:cNvSpPr/>
        </xdr:nvSpPr>
        <xdr:spPr bwMode="auto">
          <a:xfrm>
            <a:off x="8753475" y="2914650"/>
            <a:ext cx="1304925" cy="552450"/>
          </a:xfrm>
          <a:prstGeom prst="roundRect">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wrap="square" lIns="18288" tIns="0" rIns="0" bIns="0" rtlCol="0" anchor="ctr" upright="1"/>
          <a:lstStyle/>
          <a:p>
            <a:pPr algn="ctr"/>
            <a:r>
              <a:rPr lang="es-CO" sz="1100" b="1"/>
              <a:t>Ingresos</a:t>
            </a:r>
          </a:p>
        </xdr:txBody>
      </xdr:sp>
      <xdr:sp macro="" textlink="">
        <xdr:nvSpPr>
          <xdr:cNvPr id="18" name="Rectángulo: esquinas redondeadas 17">
            <a:hlinkClick xmlns:r="http://schemas.openxmlformats.org/officeDocument/2006/relationships" r:id="rId5"/>
            <a:extLst>
              <a:ext uri="{FF2B5EF4-FFF2-40B4-BE49-F238E27FC236}">
                <a16:creationId xmlns:a16="http://schemas.microsoft.com/office/drawing/2014/main" id="{00000000-0008-0000-0000-000012000000}"/>
              </a:ext>
            </a:extLst>
          </xdr:cNvPr>
          <xdr:cNvSpPr/>
        </xdr:nvSpPr>
        <xdr:spPr bwMode="auto">
          <a:xfrm>
            <a:off x="10201275" y="2914650"/>
            <a:ext cx="1304925" cy="552450"/>
          </a:xfrm>
          <a:prstGeom prst="roundRect">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wrap="square" lIns="18288" tIns="0" rIns="0" bIns="0" rtlCol="0" anchor="ctr" upright="1"/>
          <a:lstStyle/>
          <a:p>
            <a:pPr algn="ctr"/>
            <a:r>
              <a:rPr lang="es-CO" sz="1100" b="1"/>
              <a:t>Nómina</a:t>
            </a:r>
          </a:p>
        </xdr:txBody>
      </xdr:sp>
      <xdr:sp macro="" textlink="">
        <xdr:nvSpPr>
          <xdr:cNvPr id="19" name="Rectángulo: esquinas redondeadas 18">
            <a:hlinkClick xmlns:r="http://schemas.openxmlformats.org/officeDocument/2006/relationships" r:id="rId6"/>
            <a:extLst>
              <a:ext uri="{FF2B5EF4-FFF2-40B4-BE49-F238E27FC236}">
                <a16:creationId xmlns:a16="http://schemas.microsoft.com/office/drawing/2014/main" id="{00000000-0008-0000-0000-000013000000}"/>
              </a:ext>
            </a:extLst>
          </xdr:cNvPr>
          <xdr:cNvSpPr/>
        </xdr:nvSpPr>
        <xdr:spPr bwMode="auto">
          <a:xfrm>
            <a:off x="11610975" y="2876550"/>
            <a:ext cx="1304925" cy="552450"/>
          </a:xfrm>
          <a:prstGeom prst="roundRect">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wrap="square" lIns="18288" tIns="0" rIns="0" bIns="0" rtlCol="0" anchor="ctr" upright="1"/>
          <a:lstStyle/>
          <a:p>
            <a:pPr algn="ctr"/>
            <a:r>
              <a:rPr lang="es-CO" sz="1100" b="1"/>
              <a:t>Capital de Trabajo</a:t>
            </a:r>
          </a:p>
        </xdr:txBody>
      </xdr:sp>
      <xdr:sp macro="" textlink="">
        <xdr:nvSpPr>
          <xdr:cNvPr id="20" name="Rectángulo: esquinas redondeadas 19">
            <a:hlinkClick xmlns:r="http://schemas.openxmlformats.org/officeDocument/2006/relationships" r:id="rId7"/>
            <a:extLst>
              <a:ext uri="{FF2B5EF4-FFF2-40B4-BE49-F238E27FC236}">
                <a16:creationId xmlns:a16="http://schemas.microsoft.com/office/drawing/2014/main" id="{00000000-0008-0000-0000-000014000000}"/>
              </a:ext>
            </a:extLst>
          </xdr:cNvPr>
          <xdr:cNvSpPr/>
        </xdr:nvSpPr>
        <xdr:spPr bwMode="auto">
          <a:xfrm>
            <a:off x="8763000" y="3609975"/>
            <a:ext cx="1304925" cy="552450"/>
          </a:xfrm>
          <a:prstGeom prst="roundRect">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wrap="square" lIns="18288" tIns="0" rIns="0" bIns="0" rtlCol="0" anchor="ctr" upright="1"/>
          <a:lstStyle/>
          <a:p>
            <a:pPr algn="ctr"/>
            <a:r>
              <a:rPr lang="es-CO" sz="1100" b="1"/>
              <a:t>Costos</a:t>
            </a:r>
          </a:p>
        </xdr:txBody>
      </xdr:sp>
      <xdr:sp macro="" textlink="">
        <xdr:nvSpPr>
          <xdr:cNvPr id="21" name="Rectángulo: esquinas redondeadas 20">
            <a:hlinkClick xmlns:r="http://schemas.openxmlformats.org/officeDocument/2006/relationships" r:id="rId8"/>
            <a:extLst>
              <a:ext uri="{FF2B5EF4-FFF2-40B4-BE49-F238E27FC236}">
                <a16:creationId xmlns:a16="http://schemas.microsoft.com/office/drawing/2014/main" id="{00000000-0008-0000-0000-000015000000}"/>
              </a:ext>
            </a:extLst>
          </xdr:cNvPr>
          <xdr:cNvSpPr/>
        </xdr:nvSpPr>
        <xdr:spPr bwMode="auto">
          <a:xfrm>
            <a:off x="10220325" y="3629025"/>
            <a:ext cx="1304925" cy="552450"/>
          </a:xfrm>
          <a:prstGeom prst="roundRect">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wrap="square" lIns="18288" tIns="0" rIns="0" bIns="0" rtlCol="0" anchor="ctr" upright="1"/>
          <a:lstStyle/>
          <a:p>
            <a:pPr algn="ctr"/>
            <a:r>
              <a:rPr lang="es-CO" sz="1100" b="1"/>
              <a:t>Créditos</a:t>
            </a:r>
          </a:p>
        </xdr:txBody>
      </xdr:sp>
      <xdr:sp macro="" textlink="">
        <xdr:nvSpPr>
          <xdr:cNvPr id="22" name="Rectángulo: esquinas redondeadas 21">
            <a:hlinkClick xmlns:r="http://schemas.openxmlformats.org/officeDocument/2006/relationships" r:id="rId9"/>
            <a:extLst>
              <a:ext uri="{FF2B5EF4-FFF2-40B4-BE49-F238E27FC236}">
                <a16:creationId xmlns:a16="http://schemas.microsoft.com/office/drawing/2014/main" id="{00000000-0008-0000-0000-000016000000}"/>
              </a:ext>
            </a:extLst>
          </xdr:cNvPr>
          <xdr:cNvSpPr/>
        </xdr:nvSpPr>
        <xdr:spPr bwMode="auto">
          <a:xfrm>
            <a:off x="11620500" y="3619500"/>
            <a:ext cx="1304925" cy="552450"/>
          </a:xfrm>
          <a:prstGeom prst="roundRect">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wrap="square" lIns="18288" tIns="0" rIns="0" bIns="0" rtlCol="0" anchor="ctr" upright="1"/>
          <a:lstStyle/>
          <a:p>
            <a:pPr algn="ctr"/>
            <a:r>
              <a:rPr lang="es-CO" sz="1100" b="1"/>
              <a:t>Balance General</a:t>
            </a:r>
          </a:p>
        </xdr:txBody>
      </xdr:sp>
      <xdr:sp macro="" textlink="">
        <xdr:nvSpPr>
          <xdr:cNvPr id="23" name="Rectángulo: esquinas redondeadas 22">
            <a:hlinkClick xmlns:r="http://schemas.openxmlformats.org/officeDocument/2006/relationships" r:id="rId10"/>
            <a:extLst>
              <a:ext uri="{FF2B5EF4-FFF2-40B4-BE49-F238E27FC236}">
                <a16:creationId xmlns:a16="http://schemas.microsoft.com/office/drawing/2014/main" id="{00000000-0008-0000-0000-000017000000}"/>
              </a:ext>
            </a:extLst>
          </xdr:cNvPr>
          <xdr:cNvSpPr/>
        </xdr:nvSpPr>
        <xdr:spPr bwMode="auto">
          <a:xfrm>
            <a:off x="8772525" y="4295775"/>
            <a:ext cx="1304925" cy="552450"/>
          </a:xfrm>
          <a:prstGeom prst="roundRect">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wrap="square" lIns="18288" tIns="0" rIns="0" bIns="0" rtlCol="0" anchor="ctr" upright="1"/>
          <a:lstStyle/>
          <a:p>
            <a:pPr algn="ctr"/>
            <a:r>
              <a:rPr lang="es-CO" sz="1100" b="1"/>
              <a:t>Gráficos</a:t>
            </a:r>
          </a:p>
        </xdr:txBody>
      </xdr:sp>
      <xdr:sp macro="" textlink="">
        <xdr:nvSpPr>
          <xdr:cNvPr id="24" name="Rectángulo: esquinas redondeadas 23">
            <a:extLst>
              <a:ext uri="{FF2B5EF4-FFF2-40B4-BE49-F238E27FC236}">
                <a16:creationId xmlns:a16="http://schemas.microsoft.com/office/drawing/2014/main" id="{00000000-0008-0000-0000-000018000000}"/>
              </a:ext>
            </a:extLst>
          </xdr:cNvPr>
          <xdr:cNvSpPr/>
        </xdr:nvSpPr>
        <xdr:spPr bwMode="auto">
          <a:xfrm>
            <a:off x="10220325" y="4314825"/>
            <a:ext cx="1304925" cy="552450"/>
          </a:xfrm>
          <a:prstGeom prst="roundRect">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wrap="square" lIns="18288" tIns="0" rIns="0" bIns="0" rtlCol="0" anchor="ctr" upright="1"/>
          <a:lstStyle/>
          <a:p>
            <a:pPr algn="ctr"/>
            <a:r>
              <a:rPr lang="es-CO" sz="1100" b="1"/>
              <a:t>Estado de resultados</a:t>
            </a:r>
          </a:p>
        </xdr:txBody>
      </xdr:sp>
      <xdr:sp macro="" textlink="">
        <xdr:nvSpPr>
          <xdr:cNvPr id="25" name="Rectángulo: esquinas redondeadas 24">
            <a:extLst>
              <a:ext uri="{FF2B5EF4-FFF2-40B4-BE49-F238E27FC236}">
                <a16:creationId xmlns:a16="http://schemas.microsoft.com/office/drawing/2014/main" id="{00000000-0008-0000-0000-000019000000}"/>
              </a:ext>
            </a:extLst>
          </xdr:cNvPr>
          <xdr:cNvSpPr/>
        </xdr:nvSpPr>
        <xdr:spPr bwMode="auto">
          <a:xfrm>
            <a:off x="11630025" y="4314825"/>
            <a:ext cx="1304925" cy="552450"/>
          </a:xfrm>
          <a:prstGeom prst="roundRect">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wrap="square" lIns="18288" tIns="0" rIns="0" bIns="0" rtlCol="0" anchor="ctr" upright="1"/>
          <a:lstStyle/>
          <a:p>
            <a:pPr algn="ctr"/>
            <a:r>
              <a:rPr lang="es-CO" sz="1100" b="1"/>
              <a:t>FCL y Valorización</a:t>
            </a:r>
          </a:p>
        </xdr:txBody>
      </xdr:sp>
    </xdr:grp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0</xdr:row>
          <xdr:rowOff>76200</xdr:rowOff>
        </xdr:from>
        <xdr:to>
          <xdr:col>1</xdr:col>
          <xdr:colOff>1724025</xdr:colOff>
          <xdr:row>4</xdr:row>
          <xdr:rowOff>19050</xdr:rowOff>
        </xdr:to>
        <xdr:sp macro="" textlink="">
          <xdr:nvSpPr>
            <xdr:cNvPr id="19465" name="CommandButton1" hidden="1">
              <a:extLst>
                <a:ext uri="{63B3BB69-23CF-44E3-9099-C40C66FF867C}">
                  <a14:compatExt spid="_x0000_s19465"/>
                </a:ext>
                <a:ext uri="{FF2B5EF4-FFF2-40B4-BE49-F238E27FC236}">
                  <a16:creationId xmlns:a16="http://schemas.microsoft.com/office/drawing/2014/main" id="{00000000-0008-0000-0900-000009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0</xdr:row>
          <xdr:rowOff>123825</xdr:rowOff>
        </xdr:from>
        <xdr:to>
          <xdr:col>1</xdr:col>
          <xdr:colOff>1714500</xdr:colOff>
          <xdr:row>4</xdr:row>
          <xdr:rowOff>66675</xdr:rowOff>
        </xdr:to>
        <xdr:sp macro="" textlink="">
          <xdr:nvSpPr>
            <xdr:cNvPr id="23886" name="CommandButton1" hidden="1">
              <a:extLst>
                <a:ext uri="{63B3BB69-23CF-44E3-9099-C40C66FF867C}">
                  <a14:compatExt spid="_x0000_s23886"/>
                </a:ext>
                <a:ext uri="{FF2B5EF4-FFF2-40B4-BE49-F238E27FC236}">
                  <a16:creationId xmlns:a16="http://schemas.microsoft.com/office/drawing/2014/main" id="{00000000-0008-0000-0B00-00004E5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43</xdr:row>
          <xdr:rowOff>142875</xdr:rowOff>
        </xdr:from>
        <xdr:to>
          <xdr:col>1</xdr:col>
          <xdr:colOff>1676400</xdr:colOff>
          <xdr:row>47</xdr:row>
          <xdr:rowOff>85725</xdr:rowOff>
        </xdr:to>
        <xdr:sp macro="" textlink="">
          <xdr:nvSpPr>
            <xdr:cNvPr id="23887" name="CommandButton2" hidden="1">
              <a:extLst>
                <a:ext uri="{63B3BB69-23CF-44E3-9099-C40C66FF867C}">
                  <a14:compatExt spid="_x0000_s23887"/>
                </a:ext>
                <a:ext uri="{FF2B5EF4-FFF2-40B4-BE49-F238E27FC236}">
                  <a16:creationId xmlns:a16="http://schemas.microsoft.com/office/drawing/2014/main" id="{00000000-0008-0000-0B00-00004F5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0</xdr:col>
      <xdr:colOff>142875</xdr:colOff>
      <xdr:row>5</xdr:row>
      <xdr:rowOff>28575</xdr:rowOff>
    </xdr:from>
    <xdr:to>
      <xdr:col>6</xdr:col>
      <xdr:colOff>371475</xdr:colOff>
      <xdr:row>23</xdr:row>
      <xdr:rowOff>142875</xdr:rowOff>
    </xdr:to>
    <xdr:graphicFrame macro="">
      <xdr:nvGraphicFramePr>
        <xdr:cNvPr id="27692" name="Chart 2">
          <a:extLst>
            <a:ext uri="{FF2B5EF4-FFF2-40B4-BE49-F238E27FC236}">
              <a16:creationId xmlns:a16="http://schemas.microsoft.com/office/drawing/2014/main" id="{00000000-0008-0000-0C00-00002C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279111</xdr:colOff>
      <xdr:row>25</xdr:row>
      <xdr:rowOff>114300</xdr:rowOff>
    </xdr:from>
    <xdr:to>
      <xdr:col>6</xdr:col>
      <xdr:colOff>479136</xdr:colOff>
      <xdr:row>44</xdr:row>
      <xdr:rowOff>66675</xdr:rowOff>
    </xdr:to>
    <xdr:graphicFrame macro="">
      <xdr:nvGraphicFramePr>
        <xdr:cNvPr id="27693" name="Chart 5">
          <a:extLst>
            <a:ext uri="{FF2B5EF4-FFF2-40B4-BE49-F238E27FC236}">
              <a16:creationId xmlns:a16="http://schemas.microsoft.com/office/drawing/2014/main" id="{00000000-0008-0000-0C00-00002D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329333</xdr:colOff>
      <xdr:row>49</xdr:row>
      <xdr:rowOff>59458</xdr:rowOff>
    </xdr:from>
    <xdr:to>
      <xdr:col>6</xdr:col>
      <xdr:colOff>529358</xdr:colOff>
      <xdr:row>68</xdr:row>
      <xdr:rowOff>31172</xdr:rowOff>
    </xdr:to>
    <xdr:graphicFrame macro="">
      <xdr:nvGraphicFramePr>
        <xdr:cNvPr id="27694" name="Chart 6">
          <a:extLst>
            <a:ext uri="{FF2B5EF4-FFF2-40B4-BE49-F238E27FC236}">
              <a16:creationId xmlns:a16="http://schemas.microsoft.com/office/drawing/2014/main" id="{00000000-0008-0000-0C00-00002E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171450</xdr:colOff>
          <xdr:row>1</xdr:row>
          <xdr:rowOff>19050</xdr:rowOff>
        </xdr:from>
        <xdr:to>
          <xdr:col>2</xdr:col>
          <xdr:colOff>104775</xdr:colOff>
          <xdr:row>4</xdr:row>
          <xdr:rowOff>9525</xdr:rowOff>
        </xdr:to>
        <xdr:sp macro="" textlink="">
          <xdr:nvSpPr>
            <xdr:cNvPr id="27655" name="CommandButton1" hidden="1">
              <a:extLst>
                <a:ext uri="{63B3BB69-23CF-44E3-9099-C40C66FF867C}">
                  <a14:compatExt spid="_x0000_s27655"/>
                </a:ext>
                <a:ext uri="{FF2B5EF4-FFF2-40B4-BE49-F238E27FC236}">
                  <a16:creationId xmlns:a16="http://schemas.microsoft.com/office/drawing/2014/main" id="{00000000-0008-0000-0C00-000007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721590</xdr:colOff>
      <xdr:row>70</xdr:row>
      <xdr:rowOff>69274</xdr:rowOff>
    </xdr:from>
    <xdr:to>
      <xdr:col>6</xdr:col>
      <xdr:colOff>445365</xdr:colOff>
      <xdr:row>86</xdr:row>
      <xdr:rowOff>83417</xdr:rowOff>
    </xdr:to>
    <xdr:graphicFrame macro="">
      <xdr:nvGraphicFramePr>
        <xdr:cNvPr id="6" name="Chart 4">
          <a:extLst>
            <a:ext uri="{FF2B5EF4-FFF2-40B4-BE49-F238E27FC236}">
              <a16:creationId xmlns:a16="http://schemas.microsoft.com/office/drawing/2014/main" id="{00000000-0008-0000-0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199159</xdr:colOff>
      <xdr:row>1</xdr:row>
      <xdr:rowOff>86591</xdr:rowOff>
    </xdr:from>
    <xdr:to>
      <xdr:col>1</xdr:col>
      <xdr:colOff>2658341</xdr:colOff>
      <xdr:row>4</xdr:row>
      <xdr:rowOff>155864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bwMode="auto">
        <a:xfrm>
          <a:off x="355023" y="277091"/>
          <a:ext cx="2459182" cy="562841"/>
        </a:xfrm>
        <a:prstGeom prst="roundRect">
          <a:avLst/>
        </a:prstGeom>
        <a:solidFill>
          <a:schemeClr val="accent3"/>
        </a:solidFill>
        <a:ln>
          <a:noFill/>
        </a:ln>
      </xdr:spPr>
      <xdr:style>
        <a:lnRef idx="0">
          <a:scrgbClr r="0" g="0" b="0"/>
        </a:lnRef>
        <a:fillRef idx="0">
          <a:scrgbClr r="0" g="0" b="0"/>
        </a:fillRef>
        <a:effectRef idx="0">
          <a:scrgbClr r="0" g="0" b="0"/>
        </a:effectRef>
        <a:fontRef idx="minor">
          <a:schemeClr val="lt1"/>
        </a:fontRef>
      </xdr:style>
      <xdr:txBody>
        <a:bodyPr vertOverflow="clip" wrap="square" lIns="18288" tIns="0" rIns="0" bIns="0" rtlCol="0" anchor="ctr" upright="1"/>
        <a:lstStyle/>
        <a:p>
          <a:pPr algn="ctr"/>
          <a:r>
            <a:rPr lang="es-CO" sz="1100" b="1"/>
            <a:t>Regresar al menú principal</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xdr:row>
          <xdr:rowOff>0</xdr:rowOff>
        </xdr:from>
        <xdr:to>
          <xdr:col>2</xdr:col>
          <xdr:colOff>1685925</xdr:colOff>
          <xdr:row>4</xdr:row>
          <xdr:rowOff>104775</xdr:rowOff>
        </xdr:to>
        <xdr:sp macro="" textlink="">
          <xdr:nvSpPr>
            <xdr:cNvPr id="13720" name="CommandButton1" hidden="1">
              <a:extLst>
                <a:ext uri="{63B3BB69-23CF-44E3-9099-C40C66FF867C}">
                  <a14:compatExt spid="_x0000_s13720"/>
                </a:ext>
                <a:ext uri="{FF2B5EF4-FFF2-40B4-BE49-F238E27FC236}">
                  <a16:creationId xmlns:a16="http://schemas.microsoft.com/office/drawing/2014/main" id="{00000000-0008-0000-0200-0000983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xdr:row>
          <xdr:rowOff>123825</xdr:rowOff>
        </xdr:from>
        <xdr:to>
          <xdr:col>1</xdr:col>
          <xdr:colOff>1876425</xdr:colOff>
          <xdr:row>5</xdr:row>
          <xdr:rowOff>66675</xdr:rowOff>
        </xdr:to>
        <xdr:sp macro="" textlink="">
          <xdr:nvSpPr>
            <xdr:cNvPr id="11321" name="CommandButton1" hidden="1">
              <a:extLst>
                <a:ext uri="{63B3BB69-23CF-44E3-9099-C40C66FF867C}">
                  <a14:compatExt spid="_x0000_s11321"/>
                </a:ext>
                <a:ext uri="{FF2B5EF4-FFF2-40B4-BE49-F238E27FC236}">
                  <a16:creationId xmlns:a16="http://schemas.microsoft.com/office/drawing/2014/main" id="{00000000-0008-0000-0300-00003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66675</xdr:rowOff>
        </xdr:from>
        <xdr:to>
          <xdr:col>1</xdr:col>
          <xdr:colOff>1695450</xdr:colOff>
          <xdr:row>5</xdr:row>
          <xdr:rowOff>9525</xdr:rowOff>
        </xdr:to>
        <xdr:sp macro="" textlink="">
          <xdr:nvSpPr>
            <xdr:cNvPr id="18641" name="CommandButton1" hidden="1">
              <a:extLst>
                <a:ext uri="{63B3BB69-23CF-44E3-9099-C40C66FF867C}">
                  <a14:compatExt spid="_x0000_s18641"/>
                </a:ext>
                <a:ext uri="{FF2B5EF4-FFF2-40B4-BE49-F238E27FC236}">
                  <a16:creationId xmlns:a16="http://schemas.microsoft.com/office/drawing/2014/main" id="{00000000-0008-0000-0400-0000D1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xdr:row>
          <xdr:rowOff>85725</xdr:rowOff>
        </xdr:from>
        <xdr:to>
          <xdr:col>2</xdr:col>
          <xdr:colOff>1714500</xdr:colOff>
          <xdr:row>5</xdr:row>
          <xdr:rowOff>28575</xdr:rowOff>
        </xdr:to>
        <xdr:sp macro="" textlink="">
          <xdr:nvSpPr>
            <xdr:cNvPr id="14368" name="CommandButton1" hidden="1">
              <a:extLst>
                <a:ext uri="{63B3BB69-23CF-44E3-9099-C40C66FF867C}">
                  <a14:compatExt spid="_x0000_s14368"/>
                </a:ext>
                <a:ext uri="{FF2B5EF4-FFF2-40B4-BE49-F238E27FC236}">
                  <a16:creationId xmlns:a16="http://schemas.microsoft.com/office/drawing/2014/main" id="{00000000-0008-0000-0500-00002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142875</xdr:rowOff>
        </xdr:from>
        <xdr:to>
          <xdr:col>1</xdr:col>
          <xdr:colOff>1695450</xdr:colOff>
          <xdr:row>5</xdr:row>
          <xdr:rowOff>85725</xdr:rowOff>
        </xdr:to>
        <xdr:sp macro="" textlink="">
          <xdr:nvSpPr>
            <xdr:cNvPr id="16948" name="CommandButton1" hidden="1">
              <a:extLst>
                <a:ext uri="{63B3BB69-23CF-44E3-9099-C40C66FF867C}">
                  <a14:compatExt spid="_x0000_s16948"/>
                </a:ext>
                <a:ext uri="{FF2B5EF4-FFF2-40B4-BE49-F238E27FC236}">
                  <a16:creationId xmlns:a16="http://schemas.microsoft.com/office/drawing/2014/main" id="{00000000-0008-0000-0600-0000344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123825</xdr:rowOff>
        </xdr:from>
        <xdr:to>
          <xdr:col>1</xdr:col>
          <xdr:colOff>1685925</xdr:colOff>
          <xdr:row>4</xdr:row>
          <xdr:rowOff>66675</xdr:rowOff>
        </xdr:to>
        <xdr:sp macro="" textlink="">
          <xdr:nvSpPr>
            <xdr:cNvPr id="17459" name="CommandButton1" hidden="1">
              <a:extLst>
                <a:ext uri="{63B3BB69-23CF-44E3-9099-C40C66FF867C}">
                  <a14:compatExt spid="_x0000_s17459"/>
                </a:ext>
                <a:ext uri="{FF2B5EF4-FFF2-40B4-BE49-F238E27FC236}">
                  <a16:creationId xmlns:a16="http://schemas.microsoft.com/office/drawing/2014/main" id="{00000000-0008-0000-0700-00003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114300</xdr:rowOff>
        </xdr:from>
        <xdr:to>
          <xdr:col>2</xdr:col>
          <xdr:colOff>657225</xdr:colOff>
          <xdr:row>4</xdr:row>
          <xdr:rowOff>57150</xdr:rowOff>
        </xdr:to>
        <xdr:sp macro="" textlink="">
          <xdr:nvSpPr>
            <xdr:cNvPr id="26625" name="CommandButton1" hidden="1">
              <a:extLst>
                <a:ext uri="{63B3BB69-23CF-44E3-9099-C40C66FF867C}">
                  <a14:compatExt spid="_x0000_s26625"/>
                </a:ext>
                <a:ext uri="{FF2B5EF4-FFF2-40B4-BE49-F238E27FC236}">
                  <a16:creationId xmlns:a16="http://schemas.microsoft.com/office/drawing/2014/main" id="{00000000-0008-0000-0800-000001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jalb1341/Configuraci&#243;n%20local/Archivos%20temporales%20de%20Internet/Content.Outlook/P7FK4PC8/Liofitech/Ppto%20hasta%202010%20para%20EOF%20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is%20Documentos\Centro%20de%20inversiones%202006\Estrategia\Rueda%20de%20inversiones%20-%202006\Empresas\Seleccionadas\Inmi\Ecoflora%20Ltda\EF_Ecoflora_definitivo_CxC%2060%20d&#237;as_Agosto_28_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P&amp;G"/>
      <sheetName val="Flujo"/>
      <sheetName val="Ventas"/>
      <sheetName val="Int. Ctes"/>
      <sheetName val="Inversiones"/>
      <sheetName val="BPM"/>
      <sheetName val="Gastos Mercadeo"/>
      <sheetName val="Admon, Vtas y GF"/>
      <sheetName val="MO"/>
    </sheetNames>
    <sheetDataSet>
      <sheetData sheetId="0" refreshError="1"/>
      <sheetData sheetId="1"/>
      <sheetData sheetId="2" refreshError="1"/>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ones "/>
      <sheetName val="A.Fijos"/>
      <sheetName val="Deuda"/>
      <sheetName val="Ventas"/>
      <sheetName val="Costos"/>
      <sheetName val="Gastos"/>
      <sheetName val="IE"/>
      <sheetName val="BG"/>
      <sheetName val="P&amp;G"/>
      <sheetName val="P&amp;G %"/>
      <sheetName val="FC"/>
      <sheetName val="REC"/>
      <sheetName val="PRO"/>
      <sheetName val="Indicadores"/>
      <sheetName val="Macroeconomicos"/>
      <sheetName val="Valoracion"/>
      <sheetName val="Module1"/>
      <sheetName val="Module3"/>
      <sheetName val="Module9"/>
      <sheetName val="Module2"/>
      <sheetName val="prt"/>
      <sheetName val="PPP"/>
      <sheetName val="Dialog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refreshError="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mments" Target="../comments8.xml"/><Relationship Id="rId5" Type="http://schemas.openxmlformats.org/officeDocument/2006/relationships/image" Target="../media/image8.emf"/><Relationship Id="rId4" Type="http://schemas.openxmlformats.org/officeDocument/2006/relationships/control" Target="../activeX/activeX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image" Target="../media/image10.emf"/><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ontrol" Target="../activeX/activeX10.xml"/><Relationship Id="rId5" Type="http://schemas.openxmlformats.org/officeDocument/2006/relationships/image" Target="../media/image9.emf"/><Relationship Id="rId4" Type="http://schemas.openxmlformats.org/officeDocument/2006/relationships/control" Target="../activeX/activeX9.xml"/></Relationships>
</file>

<file path=xl/worksheets/_rels/sheet13.xml.rels><?xml version="1.0" encoding="UTF-8" standalone="yes"?>
<Relationships xmlns="http://schemas.openxmlformats.org/package/2006/relationships"><Relationship Id="rId3" Type="http://schemas.openxmlformats.org/officeDocument/2006/relationships/control" Target="../activeX/activeX11.xml"/><Relationship Id="rId2" Type="http://schemas.openxmlformats.org/officeDocument/2006/relationships/vmlDrawing" Target="../drawings/vmlDrawing11.vml"/><Relationship Id="rId1" Type="http://schemas.openxmlformats.org/officeDocument/2006/relationships/drawing" Target="../drawings/drawing12.xml"/><Relationship Id="rId4" Type="http://schemas.openxmlformats.org/officeDocument/2006/relationships/image" Target="../media/image11.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4.emf"/><Relationship Id="rId4" Type="http://schemas.openxmlformats.org/officeDocument/2006/relationships/control" Target="../activeX/activeX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5.emf"/><Relationship Id="rId4" Type="http://schemas.openxmlformats.org/officeDocument/2006/relationships/control" Target="../activeX/activeX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6.emf"/><Relationship Id="rId4" Type="http://schemas.openxmlformats.org/officeDocument/2006/relationships/control" Target="../activeX/activeX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omments" Target="../comments7.xml"/><Relationship Id="rId5" Type="http://schemas.openxmlformats.org/officeDocument/2006/relationships/image" Target="../media/image7.emf"/><Relationship Id="rId4" Type="http://schemas.openxmlformats.org/officeDocument/2006/relationships/control" Target="../activeX/activeX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3"/>
  <dimension ref="B10:B11"/>
  <sheetViews>
    <sheetView showGridLines="0" topLeftCell="A17" zoomScale="120" workbookViewId="0"/>
  </sheetViews>
  <sheetFormatPr baseColWidth="10" defaultRowHeight="12.75" x14ac:dyDescent="0.2"/>
  <cols>
    <col min="2" max="2" width="15.28515625" customWidth="1"/>
    <col min="3" max="3" width="4.85546875" customWidth="1"/>
    <col min="4" max="4" width="15.28515625" customWidth="1"/>
    <col min="5" max="5" width="5.85546875" customWidth="1"/>
    <col min="6" max="6" width="15.28515625" customWidth="1"/>
  </cols>
  <sheetData>
    <row r="10" spans="2:2" x14ac:dyDescent="0.2">
      <c r="B10" s="175"/>
    </row>
    <row r="11" spans="2:2" x14ac:dyDescent="0.2">
      <c r="B11" s="175" t="s">
        <v>471</v>
      </c>
    </row>
  </sheetData>
  <phoneticPr fontId="34" type="noConversion"/>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pageSetUpPr fitToPage="1"/>
  </sheetPr>
  <dimension ref="B1:J74"/>
  <sheetViews>
    <sheetView showGridLines="0" topLeftCell="A30" zoomScale="94" zoomScaleNormal="80" workbookViewId="0">
      <selection activeCell="B43" sqref="B43:C56"/>
    </sheetView>
  </sheetViews>
  <sheetFormatPr baseColWidth="10" defaultRowHeight="12.75" x14ac:dyDescent="0.2"/>
  <cols>
    <col min="1" max="1" width="3.7109375" style="2" customWidth="1"/>
    <col min="2" max="2" width="49.140625" style="2" bestFit="1" customWidth="1"/>
    <col min="3" max="3" width="21.7109375" style="2" customWidth="1"/>
    <col min="4" max="4" width="19.5703125" style="2" customWidth="1"/>
    <col min="5" max="5" width="20.5703125" style="2" customWidth="1"/>
    <col min="6" max="6" width="19.85546875" style="2" customWidth="1"/>
    <col min="7" max="7" width="20" style="2" customWidth="1"/>
    <col min="8" max="9" width="20.140625" style="2" customWidth="1"/>
    <col min="10" max="10" width="22.42578125" style="2" customWidth="1"/>
    <col min="11" max="16384" width="11.42578125" style="2"/>
  </cols>
  <sheetData>
    <row r="1" spans="2:10" x14ac:dyDescent="0.2">
      <c r="B1" s="23"/>
      <c r="C1" s="23"/>
      <c r="D1" s="23"/>
      <c r="E1" s="23"/>
      <c r="F1" s="23"/>
      <c r="G1" s="23"/>
      <c r="H1" s="23"/>
      <c r="I1" s="23"/>
      <c r="J1" s="23"/>
    </row>
    <row r="2" spans="2:10" x14ac:dyDescent="0.2">
      <c r="B2" s="23"/>
      <c r="C2" s="23"/>
      <c r="D2" s="23"/>
      <c r="E2" s="23"/>
      <c r="F2" s="23"/>
      <c r="G2" s="23"/>
      <c r="H2" s="23"/>
      <c r="I2" s="23"/>
      <c r="J2" s="23"/>
    </row>
    <row r="3" spans="2:10" x14ac:dyDescent="0.2">
      <c r="B3" s="23"/>
      <c r="C3" s="23"/>
      <c r="D3" s="23"/>
      <c r="E3" s="23"/>
      <c r="F3" s="23"/>
      <c r="G3" s="23"/>
      <c r="H3" s="23"/>
      <c r="I3" s="23"/>
      <c r="J3" s="23"/>
    </row>
    <row r="4" spans="2:10" x14ac:dyDescent="0.2">
      <c r="B4" s="23"/>
      <c r="C4" s="23"/>
      <c r="D4" s="23"/>
      <c r="E4" s="23"/>
      <c r="F4" s="23"/>
      <c r="G4" s="23"/>
      <c r="H4" s="23"/>
      <c r="I4" s="23"/>
      <c r="J4" s="23"/>
    </row>
    <row r="5" spans="2:10" x14ac:dyDescent="0.2">
      <c r="B5" s="23"/>
      <c r="C5" s="23"/>
      <c r="D5" s="23"/>
      <c r="E5" s="23"/>
      <c r="F5" s="23"/>
      <c r="G5" s="23"/>
      <c r="H5" s="23"/>
      <c r="I5" s="23"/>
      <c r="J5" s="23"/>
    </row>
    <row r="6" spans="2:10" x14ac:dyDescent="0.2">
      <c r="B6" s="23"/>
      <c r="C6" s="23"/>
      <c r="D6" s="23"/>
      <c r="E6" s="23"/>
      <c r="F6" s="23"/>
      <c r="G6" s="23"/>
      <c r="H6" s="23"/>
      <c r="I6" s="23"/>
      <c r="J6" s="23"/>
    </row>
    <row r="7" spans="2:10" x14ac:dyDescent="0.2">
      <c r="B7" s="23"/>
      <c r="C7" s="23"/>
      <c r="D7" s="23"/>
      <c r="E7" s="23"/>
      <c r="F7" s="23"/>
      <c r="G7" s="23"/>
      <c r="H7" s="23"/>
      <c r="I7" s="23"/>
      <c r="J7" s="23"/>
    </row>
    <row r="8" spans="2:10" x14ac:dyDescent="0.2">
      <c r="B8" s="23"/>
      <c r="C8" s="23"/>
      <c r="D8" s="23"/>
      <c r="E8" s="23"/>
      <c r="F8" s="23"/>
      <c r="G8" s="23"/>
      <c r="H8" s="23"/>
      <c r="I8" s="23"/>
      <c r="J8" s="23"/>
    </row>
    <row r="9" spans="2:10" x14ac:dyDescent="0.2">
      <c r="B9" s="578" t="s">
        <v>374</v>
      </c>
      <c r="C9" s="689">
        <v>0.25</v>
      </c>
      <c r="D9" s="23"/>
      <c r="E9" s="23"/>
      <c r="F9" s="23"/>
      <c r="G9" s="23"/>
      <c r="H9" s="23"/>
      <c r="I9" s="23"/>
      <c r="J9" s="23"/>
    </row>
    <row r="10" spans="2:10" x14ac:dyDescent="0.2">
      <c r="B10" s="23"/>
      <c r="C10" s="23"/>
      <c r="D10" s="23"/>
      <c r="E10" s="23"/>
      <c r="F10" s="23"/>
      <c r="G10" s="23"/>
      <c r="H10" s="23"/>
      <c r="I10" s="23"/>
      <c r="J10" s="23"/>
    </row>
    <row r="11" spans="2:10" x14ac:dyDescent="0.2">
      <c r="B11" s="23"/>
      <c r="C11" s="23"/>
      <c r="D11" s="23"/>
      <c r="E11" s="23"/>
      <c r="F11" s="23"/>
      <c r="G11" s="23"/>
      <c r="H11" s="23"/>
      <c r="I11" s="23"/>
      <c r="J11" s="23"/>
    </row>
    <row r="12" spans="2:10" ht="15.75" x14ac:dyDescent="0.25">
      <c r="B12" s="816" t="str">
        <f>Supuestos!B8</f>
        <v>Centro de acopio la Bonanza Campesina</v>
      </c>
      <c r="C12" s="817"/>
      <c r="D12" s="817"/>
      <c r="E12" s="817"/>
      <c r="F12" s="817"/>
      <c r="G12" s="817"/>
      <c r="H12" s="817"/>
      <c r="I12" s="817"/>
      <c r="J12" s="579"/>
    </row>
    <row r="13" spans="2:10" ht="15.75" x14ac:dyDescent="0.25">
      <c r="B13" s="816" t="s">
        <v>212</v>
      </c>
      <c r="C13" s="817"/>
      <c r="D13" s="817"/>
      <c r="E13" s="817"/>
      <c r="F13" s="817"/>
      <c r="G13" s="817"/>
      <c r="H13" s="817"/>
      <c r="I13" s="817"/>
      <c r="J13" s="579"/>
    </row>
    <row r="14" spans="2:10" ht="15" x14ac:dyDescent="0.2">
      <c r="B14" s="580"/>
      <c r="C14" s="581"/>
      <c r="D14" s="581"/>
      <c r="E14" s="581"/>
      <c r="F14" s="581"/>
      <c r="G14" s="581"/>
      <c r="H14" s="581"/>
      <c r="I14" s="581"/>
      <c r="J14" s="579"/>
    </row>
    <row r="15" spans="2:10" ht="15.75" x14ac:dyDescent="0.25">
      <c r="B15" s="582" t="s">
        <v>53</v>
      </c>
      <c r="C15" s="583" t="s">
        <v>4</v>
      </c>
      <c r="D15" s="583" t="s">
        <v>325</v>
      </c>
      <c r="E15" s="583" t="s">
        <v>326</v>
      </c>
      <c r="F15" s="583" t="s">
        <v>327</v>
      </c>
      <c r="G15" s="583" t="s">
        <v>328</v>
      </c>
      <c r="H15" s="583" t="s">
        <v>329</v>
      </c>
      <c r="I15" s="583" t="s">
        <v>393</v>
      </c>
      <c r="J15" s="584" t="s">
        <v>147</v>
      </c>
    </row>
    <row r="16" spans="2:10" s="3" customFormat="1" ht="15.75" x14ac:dyDescent="0.25">
      <c r="B16" s="585" t="s">
        <v>141</v>
      </c>
      <c r="C16" s="586">
        <v>0</v>
      </c>
      <c r="D16" s="586">
        <f>'BG_P&amp;G'!C22</f>
        <v>164951233.84560016</v>
      </c>
      <c r="E16" s="586">
        <f>'BG_P&amp;G'!D22</f>
        <v>547871367.23436201</v>
      </c>
      <c r="F16" s="586">
        <f>'BG_P&amp;G'!E22</f>
        <v>602941899.57986295</v>
      </c>
      <c r="G16" s="586">
        <f>'BG_P&amp;G'!F22</f>
        <v>666731354.89248359</v>
      </c>
      <c r="H16" s="586">
        <f>'BG_P&amp;G'!G22</f>
        <v>740806975.60890281</v>
      </c>
      <c r="I16" s="586">
        <f>'BG_P&amp;G'!H22</f>
        <v>847800022.16399527</v>
      </c>
      <c r="J16" s="587"/>
    </row>
    <row r="17" spans="2:10" s="3" customFormat="1" ht="15.75" x14ac:dyDescent="0.25">
      <c r="B17" s="585"/>
      <c r="C17" s="586"/>
      <c r="D17" s="586"/>
      <c r="E17" s="586"/>
      <c r="F17" s="586"/>
      <c r="G17" s="586"/>
      <c r="H17" s="586"/>
      <c r="I17" s="586"/>
      <c r="J17" s="587"/>
    </row>
    <row r="18" spans="2:10" ht="15" x14ac:dyDescent="0.2">
      <c r="B18" s="588" t="s">
        <v>16</v>
      </c>
      <c r="C18" s="589">
        <v>0</v>
      </c>
      <c r="D18" s="589">
        <f>IF(D16&gt;0,D16*Supuestos!D32,0)</f>
        <v>65980493.538240068</v>
      </c>
      <c r="E18" s="589">
        <f>IF(E16&gt;0,E16*Supuestos!E32,0)</f>
        <v>219148546.89374483</v>
      </c>
      <c r="F18" s="589">
        <f>IF(F16&gt;0,F16*Supuestos!F32,0)</f>
        <v>241176759.83194518</v>
      </c>
      <c r="G18" s="589">
        <f>IF(G16&gt;0,G16*Supuestos!G32,0)</f>
        <v>266692541.95699346</v>
      </c>
      <c r="H18" s="589">
        <f>IF(H16&gt;0,H16*Supuestos!H32,0)</f>
        <v>296322790.24356115</v>
      </c>
      <c r="I18" s="589">
        <f>IF(I16&gt;0,I16*Supuestos!I32,0)</f>
        <v>339120008.86559814</v>
      </c>
      <c r="J18" s="579"/>
    </row>
    <row r="19" spans="2:10" ht="15" x14ac:dyDescent="0.2">
      <c r="B19" s="588"/>
      <c r="C19" s="589"/>
      <c r="D19" s="589"/>
      <c r="E19" s="589"/>
      <c r="F19" s="589"/>
      <c r="G19" s="589"/>
      <c r="H19" s="589"/>
      <c r="I19" s="589"/>
      <c r="J19" s="579"/>
    </row>
    <row r="20" spans="2:10" s="3" customFormat="1" ht="15.75" x14ac:dyDescent="0.25">
      <c r="B20" s="585" t="s">
        <v>142</v>
      </c>
      <c r="C20" s="586">
        <f t="shared" ref="C20:I20" si="0">C16-C18</f>
        <v>0</v>
      </c>
      <c r="D20" s="586">
        <f t="shared" si="0"/>
        <v>98970740.307360083</v>
      </c>
      <c r="E20" s="586">
        <f t="shared" si="0"/>
        <v>328722820.34061718</v>
      </c>
      <c r="F20" s="586">
        <f t="shared" si="0"/>
        <v>361765139.74791777</v>
      </c>
      <c r="G20" s="586">
        <f t="shared" si="0"/>
        <v>400038812.93549013</v>
      </c>
      <c r="H20" s="586">
        <f t="shared" si="0"/>
        <v>444484185.36534166</v>
      </c>
      <c r="I20" s="586">
        <f t="shared" si="0"/>
        <v>508680013.29839712</v>
      </c>
      <c r="J20" s="587"/>
    </row>
    <row r="21" spans="2:10" s="3" customFormat="1" ht="15.75" x14ac:dyDescent="0.25">
      <c r="B21" s="585"/>
      <c r="C21" s="586"/>
      <c r="D21" s="586"/>
      <c r="E21" s="586"/>
      <c r="F21" s="586"/>
      <c r="G21" s="586"/>
      <c r="H21" s="586"/>
      <c r="I21" s="586"/>
      <c r="J21" s="587"/>
    </row>
    <row r="22" spans="2:10" ht="15" x14ac:dyDescent="0.2">
      <c r="B22" s="588" t="s">
        <v>143</v>
      </c>
      <c r="C22" s="589">
        <v>0</v>
      </c>
      <c r="D22" s="589">
        <f>'BG_P&amp;G'!C20+'BG_P&amp;G'!C21</f>
        <v>21455300</v>
      </c>
      <c r="E22" s="589">
        <f>'BG_P&amp;G'!D20+'BG_P&amp;G'!D21</f>
        <v>21455300</v>
      </c>
      <c r="F22" s="589">
        <f>'BG_P&amp;G'!E20+'BG_P&amp;G'!E21</f>
        <v>21455300</v>
      </c>
      <c r="G22" s="589">
        <f>'BG_P&amp;G'!F20+'BG_P&amp;G'!F21</f>
        <v>21455300</v>
      </c>
      <c r="H22" s="589">
        <f>'BG_P&amp;G'!G20+'BG_P&amp;G'!G21</f>
        <v>21455300</v>
      </c>
      <c r="I22" s="589">
        <f>'BG_P&amp;G'!H20+'BG_P&amp;G'!H21</f>
        <v>0</v>
      </c>
      <c r="J22" s="579"/>
    </row>
    <row r="23" spans="2:10" ht="15" x14ac:dyDescent="0.2">
      <c r="B23" s="588"/>
      <c r="C23" s="589"/>
      <c r="D23" s="589"/>
      <c r="E23" s="589"/>
      <c r="F23" s="589"/>
      <c r="G23" s="589"/>
      <c r="H23" s="589"/>
      <c r="I23" s="589"/>
      <c r="J23" s="579"/>
    </row>
    <row r="24" spans="2:10" s="3" customFormat="1" ht="15.75" x14ac:dyDescent="0.25">
      <c r="B24" s="585" t="s">
        <v>30</v>
      </c>
      <c r="C24" s="586">
        <v>0</v>
      </c>
      <c r="D24" s="586">
        <f t="shared" ref="D24:I24" si="1">D20+D22</f>
        <v>120426040.30736008</v>
      </c>
      <c r="E24" s="586">
        <f t="shared" si="1"/>
        <v>350178120.34061718</v>
      </c>
      <c r="F24" s="586">
        <f t="shared" si="1"/>
        <v>383220439.74791777</v>
      </c>
      <c r="G24" s="586">
        <f t="shared" si="1"/>
        <v>421494112.93549013</v>
      </c>
      <c r="H24" s="586">
        <f t="shared" si="1"/>
        <v>465939485.36534166</v>
      </c>
      <c r="I24" s="586">
        <f t="shared" si="1"/>
        <v>508680013.29839712</v>
      </c>
      <c r="J24" s="587"/>
    </row>
    <row r="25" spans="2:10" s="3" customFormat="1" ht="15.75" x14ac:dyDescent="0.25">
      <c r="B25" s="585"/>
      <c r="C25" s="586"/>
      <c r="D25" s="586"/>
      <c r="E25" s="586"/>
      <c r="F25" s="586"/>
      <c r="G25" s="586"/>
      <c r="H25" s="586"/>
      <c r="I25" s="586"/>
      <c r="J25" s="587"/>
    </row>
    <row r="26" spans="2:10" ht="15" x14ac:dyDescent="0.2">
      <c r="B26" s="588" t="s">
        <v>32</v>
      </c>
      <c r="C26" s="589">
        <f>'Capital de trabajo'!D25</f>
        <v>201753161.67544001</v>
      </c>
      <c r="D26" s="590">
        <f>'Capital de trabajo'!E39</f>
        <v>-251043658.15012661</v>
      </c>
      <c r="E26" s="589">
        <f>'Capital de trabajo'!F39</f>
        <v>-156179782.14892793</v>
      </c>
      <c r="F26" s="589">
        <f>'Capital de trabajo'!G39</f>
        <v>-25039941.73162356</v>
      </c>
      <c r="G26" s="589">
        <f>'Capital de trabajo'!H39</f>
        <v>-28527510.918471426</v>
      </c>
      <c r="H26" s="589">
        <f>'Capital de trabajo'!I39</f>
        <v>-32641977.079990834</v>
      </c>
      <c r="I26" s="589">
        <f>'Capital de trabajo'!J39</f>
        <v>-47440300.511897802</v>
      </c>
      <c r="J26" s="579"/>
    </row>
    <row r="27" spans="2:10" ht="15" x14ac:dyDescent="0.2">
      <c r="B27" s="588" t="s">
        <v>31</v>
      </c>
      <c r="C27" s="589">
        <f>+Inversion!E138</f>
        <v>107000000</v>
      </c>
      <c r="D27" s="589">
        <v>0</v>
      </c>
      <c r="E27" s="589">
        <f>+Inversion!F138</f>
        <v>0</v>
      </c>
      <c r="F27" s="589">
        <f>+Inversion!G138</f>
        <v>0</v>
      </c>
      <c r="G27" s="589">
        <f>+Inversion!H138</f>
        <v>0</v>
      </c>
      <c r="H27" s="589">
        <f>+Inversion!I138</f>
        <v>0</v>
      </c>
      <c r="I27" s="589">
        <f>+Inversion!J138</f>
        <v>0</v>
      </c>
      <c r="J27" s="579"/>
    </row>
    <row r="28" spans="2:10" ht="15" x14ac:dyDescent="0.2">
      <c r="B28" s="588" t="s">
        <v>100</v>
      </c>
      <c r="C28" s="589">
        <f>+Inversion!K168</f>
        <v>276500</v>
      </c>
      <c r="D28" s="589">
        <v>0</v>
      </c>
      <c r="E28" s="589">
        <f>+Inversion!L168</f>
        <v>0</v>
      </c>
      <c r="F28" s="589">
        <f>+Inversion!M168</f>
        <v>0</v>
      </c>
      <c r="G28" s="589">
        <f>+Inversion!N168</f>
        <v>0</v>
      </c>
      <c r="H28" s="589">
        <f>+Inversion!O168</f>
        <v>0</v>
      </c>
      <c r="I28" s="589">
        <f>+Inversion!P168</f>
        <v>0</v>
      </c>
      <c r="J28" s="579"/>
    </row>
    <row r="29" spans="2:10" ht="15" x14ac:dyDescent="0.2">
      <c r="B29" s="588" t="s">
        <v>94</v>
      </c>
      <c r="C29" s="589">
        <f>+Inversion!K156</f>
        <v>0</v>
      </c>
      <c r="D29" s="589">
        <v>0</v>
      </c>
      <c r="E29" s="589">
        <f>+Inversion!L156</f>
        <v>0</v>
      </c>
      <c r="F29" s="589">
        <f>+Inversion!M156</f>
        <v>0</v>
      </c>
      <c r="G29" s="589">
        <f>+Inversion!N156</f>
        <v>0</v>
      </c>
      <c r="H29" s="589">
        <f>+Inversion!O156</f>
        <v>0</v>
      </c>
      <c r="I29" s="589">
        <f>+Inversion!P156</f>
        <v>0</v>
      </c>
      <c r="J29" s="579"/>
    </row>
    <row r="30" spans="2:10" ht="15" x14ac:dyDescent="0.2">
      <c r="B30" s="588"/>
      <c r="C30" s="589"/>
      <c r="D30" s="589"/>
      <c r="E30" s="589"/>
      <c r="F30" s="589"/>
      <c r="G30" s="589"/>
      <c r="H30" s="589"/>
      <c r="I30" s="589"/>
      <c r="J30" s="579"/>
    </row>
    <row r="31" spans="2:10" ht="15.75" x14ac:dyDescent="0.25">
      <c r="B31" s="591" t="s">
        <v>29</v>
      </c>
      <c r="C31" s="592">
        <f>C24-SUM(C26:C29)</f>
        <v>-309029661.67544001</v>
      </c>
      <c r="D31" s="592">
        <f>D24-SUM(D26:D29)</f>
        <v>371469698.45748669</v>
      </c>
      <c r="E31" s="592">
        <f t="shared" ref="E31:H31" si="2">E24-SUM(E26:E29)</f>
        <v>506357902.48954511</v>
      </c>
      <c r="F31" s="592">
        <f t="shared" si="2"/>
        <v>408260381.4795413</v>
      </c>
      <c r="G31" s="592">
        <f t="shared" si="2"/>
        <v>450021623.85396159</v>
      </c>
      <c r="H31" s="592">
        <f t="shared" si="2"/>
        <v>498581462.44533253</v>
      </c>
      <c r="I31" s="592">
        <f>I24-SUM(I26:I29)</f>
        <v>556120313.81029487</v>
      </c>
      <c r="J31" s="592">
        <f>(I31*(1+C51))/(C43-C51)</f>
        <v>2224481255.2411795</v>
      </c>
    </row>
    <row r="32" spans="2:10" s="11" customFormat="1" ht="15" x14ac:dyDescent="0.2">
      <c r="B32" s="588"/>
      <c r="C32" s="589"/>
      <c r="D32" s="589"/>
      <c r="E32" s="589"/>
      <c r="F32" s="589"/>
      <c r="G32" s="589"/>
      <c r="H32" s="589"/>
      <c r="I32" s="589"/>
      <c r="J32" s="593"/>
    </row>
    <row r="33" spans="2:10" s="11" customFormat="1" ht="15" x14ac:dyDescent="0.2">
      <c r="B33" s="588" t="s">
        <v>379</v>
      </c>
      <c r="C33" s="589"/>
      <c r="D33" s="589">
        <f>SUM(Creditos!E42:E53)</f>
        <v>89896602.938123718</v>
      </c>
      <c r="E33" s="589">
        <f>SUM(Creditos!E54:E65)</f>
        <v>82367280.954565749</v>
      </c>
      <c r="F33" s="589">
        <f>SUM(Creditos!E66:E77)</f>
        <v>74837958.971007824</v>
      </c>
      <c r="G33" s="589">
        <f>SUM(Creditos!E78:E89)</f>
        <v>67308636.98744987</v>
      </c>
      <c r="H33" s="589">
        <f>SUM(Creditos!E90:E101)</f>
        <v>59779315.0038919</v>
      </c>
      <c r="I33" s="589">
        <f>SUM(Creditos!E102:E113)</f>
        <v>52249993.020333938</v>
      </c>
      <c r="J33" s="593"/>
    </row>
    <row r="34" spans="2:10" s="11" customFormat="1" ht="15" x14ac:dyDescent="0.2">
      <c r="B34" s="588"/>
      <c r="C34" s="589"/>
      <c r="D34" s="589"/>
      <c r="E34" s="589"/>
      <c r="F34" s="589"/>
      <c r="G34" s="589"/>
      <c r="H34" s="589"/>
      <c r="I34" s="589"/>
      <c r="J34" s="593"/>
    </row>
    <row r="35" spans="2:10" s="11" customFormat="1" ht="15.75" x14ac:dyDescent="0.25">
      <c r="B35" s="591" t="s">
        <v>378</v>
      </c>
      <c r="C35" s="594">
        <f>C31-C33</f>
        <v>-309029661.67544001</v>
      </c>
      <c r="D35" s="594">
        <f t="shared" ref="D35:I35" si="3">D31-D33</f>
        <v>281573095.51936299</v>
      </c>
      <c r="E35" s="594">
        <f t="shared" si="3"/>
        <v>423990621.53497934</v>
      </c>
      <c r="F35" s="594">
        <f t="shared" si="3"/>
        <v>333422422.50853348</v>
      </c>
      <c r="G35" s="594">
        <f t="shared" si="3"/>
        <v>382712986.8665117</v>
      </c>
      <c r="H35" s="594">
        <f t="shared" si="3"/>
        <v>438802147.44144064</v>
      </c>
      <c r="I35" s="594">
        <f t="shared" si="3"/>
        <v>503870320.78996092</v>
      </c>
      <c r="J35" s="595">
        <f>(I35*(1+C69))/(C61-C69)</f>
        <v>2015481283.1598437</v>
      </c>
    </row>
    <row r="36" spans="2:10" s="11" customFormat="1" ht="15.75" x14ac:dyDescent="0.25">
      <c r="B36" s="596"/>
      <c r="C36" s="593"/>
      <c r="D36" s="593"/>
      <c r="E36" s="593"/>
      <c r="F36" s="593"/>
      <c r="G36" s="593"/>
      <c r="H36" s="593"/>
      <c r="I36" s="593"/>
      <c r="J36" s="593"/>
    </row>
    <row r="37" spans="2:10" x14ac:dyDescent="0.2">
      <c r="B37" s="114"/>
      <c r="C37" s="597"/>
      <c r="D37" s="597"/>
      <c r="E37" s="597"/>
      <c r="F37" s="597"/>
      <c r="G37" s="597"/>
      <c r="H37" s="597"/>
      <c r="I37" s="597"/>
      <c r="J37" s="47"/>
    </row>
    <row r="38" spans="2:10" x14ac:dyDescent="0.2">
      <c r="B38" s="598"/>
      <c r="C38" s="71"/>
      <c r="D38" s="599">
        <f>+PV($C$43,1,,-D31)</f>
        <v>297175758.76598936</v>
      </c>
      <c r="E38" s="599">
        <f>+PV($C$43,2,,-E31)</f>
        <v>324069057.59330887</v>
      </c>
      <c r="F38" s="599">
        <f>+PV($C$43,3,,-F31)</f>
        <v>209029315.31752515</v>
      </c>
      <c r="G38" s="599">
        <f>+PV($C$43,4,,-G31)</f>
        <v>184328857.13058266</v>
      </c>
      <c r="H38" s="599">
        <f>+PV($C$43,5,,-H31)</f>
        <v>163375173.61408657</v>
      </c>
      <c r="I38" s="599">
        <f>+PV($C$43,5,,-I31)</f>
        <v>182229504.42935741</v>
      </c>
      <c r="J38" s="599">
        <f>+PV($C$43,5,,-J31)</f>
        <v>728918017.71742964</v>
      </c>
    </row>
    <row r="39" spans="2:10" x14ac:dyDescent="0.2">
      <c r="B39" s="23"/>
      <c r="C39" s="23"/>
      <c r="D39" s="599"/>
      <c r="E39" s="599"/>
      <c r="F39" s="599"/>
      <c r="G39" s="599"/>
      <c r="H39" s="599"/>
      <c r="I39" s="599"/>
      <c r="J39" s="599"/>
    </row>
    <row r="40" spans="2:10" x14ac:dyDescent="0.2">
      <c r="B40" s="23"/>
      <c r="C40" s="50" t="s">
        <v>306</v>
      </c>
      <c r="D40" s="599">
        <f>+C31+D38</f>
        <v>-11853902.90945065</v>
      </c>
      <c r="E40" s="599">
        <f t="shared" ref="E40:J40" si="4">+D40+E38</f>
        <v>312215154.68385822</v>
      </c>
      <c r="F40" s="599">
        <f t="shared" si="4"/>
        <v>521244470.00138336</v>
      </c>
      <c r="G40" s="599">
        <f t="shared" si="4"/>
        <v>705573327.13196599</v>
      </c>
      <c r="H40" s="599">
        <f t="shared" si="4"/>
        <v>868948500.7460525</v>
      </c>
      <c r="I40" s="599">
        <f t="shared" si="4"/>
        <v>1051178005.1754099</v>
      </c>
      <c r="J40" s="599">
        <f t="shared" si="4"/>
        <v>1780096022.8928394</v>
      </c>
    </row>
    <row r="41" spans="2:10" x14ac:dyDescent="0.2">
      <c r="B41" s="23"/>
      <c r="C41" s="23"/>
      <c r="D41" s="600"/>
      <c r="E41" s="600"/>
      <c r="F41" s="600"/>
      <c r="G41" s="600"/>
      <c r="H41" s="601"/>
      <c r="I41" s="601"/>
      <c r="J41" s="600"/>
    </row>
    <row r="42" spans="2:10" ht="13.5" thickBot="1" x14ac:dyDescent="0.25">
      <c r="B42" s="23"/>
      <c r="C42" s="23"/>
      <c r="D42" s="602"/>
      <c r="E42" s="71"/>
      <c r="F42" s="71"/>
      <c r="G42" s="71"/>
      <c r="H42" s="71"/>
      <c r="I42" s="71"/>
      <c r="J42" s="47"/>
    </row>
    <row r="43" spans="2:10" ht="13.5" thickBot="1" x14ac:dyDescent="0.25">
      <c r="B43" s="603" t="s">
        <v>144</v>
      </c>
      <c r="C43" s="604">
        <f>+C9</f>
        <v>0.25</v>
      </c>
      <c r="D43" s="605"/>
      <c r="E43" s="71"/>
      <c r="F43" s="71"/>
      <c r="G43" s="71"/>
      <c r="H43" s="600"/>
      <c r="I43" s="600"/>
      <c r="J43" s="47"/>
    </row>
    <row r="44" spans="2:10" x14ac:dyDescent="0.2">
      <c r="B44" s="606" t="s">
        <v>182</v>
      </c>
      <c r="C44" s="607">
        <f>NPV(C43,D31:I31)</f>
        <v>1323761765.9649785</v>
      </c>
      <c r="D44" s="600"/>
      <c r="E44" s="71"/>
      <c r="F44" s="71"/>
      <c r="G44" s="71"/>
      <c r="H44" s="600"/>
      <c r="I44" s="600"/>
      <c r="J44" s="47"/>
    </row>
    <row r="45" spans="2:10" ht="13.5" thickBot="1" x14ac:dyDescent="0.25">
      <c r="B45" s="608" t="s">
        <v>181</v>
      </c>
      <c r="C45" s="609">
        <f>C44/C52</f>
        <v>0.64489443335882324</v>
      </c>
      <c r="D45" s="610"/>
      <c r="E45" s="71"/>
      <c r="F45" s="71"/>
      <c r="G45" s="71"/>
      <c r="H45" s="71"/>
      <c r="I45" s="71"/>
      <c r="J45" s="47"/>
    </row>
    <row r="46" spans="2:10" ht="13.5" thickBot="1" x14ac:dyDescent="0.25">
      <c r="B46" s="611" t="s">
        <v>33</v>
      </c>
      <c r="C46" s="612">
        <f>IRR(C31:I31)</f>
        <v>1.3381489392155408</v>
      </c>
      <c r="D46" s="613"/>
      <c r="E46" s="71"/>
      <c r="F46" s="71"/>
      <c r="G46" s="71"/>
      <c r="H46" s="425"/>
      <c r="I46" s="425"/>
      <c r="J46" s="47"/>
    </row>
    <row r="47" spans="2:10" x14ac:dyDescent="0.2">
      <c r="B47" s="614" t="s">
        <v>34</v>
      </c>
      <c r="C47" s="615">
        <f>MIRR(C31:I31,0.15,0.07)</f>
        <v>0.48317645744942728</v>
      </c>
      <c r="D47" s="613"/>
      <c r="E47" s="70"/>
      <c r="F47" s="71"/>
      <c r="G47" s="71"/>
      <c r="H47" s="425"/>
      <c r="I47" s="425"/>
      <c r="J47" s="47"/>
    </row>
    <row r="48" spans="2:10" x14ac:dyDescent="0.2">
      <c r="B48" s="616" t="s">
        <v>147</v>
      </c>
      <c r="C48" s="617">
        <f>J31</f>
        <v>2224481255.2411795</v>
      </c>
      <c r="D48" s="613"/>
      <c r="E48" s="70"/>
      <c r="F48" s="71"/>
      <c r="G48" s="71"/>
      <c r="H48" s="425"/>
      <c r="I48" s="425"/>
      <c r="J48" s="47"/>
    </row>
    <row r="49" spans="2:10" x14ac:dyDescent="0.2">
      <c r="B49" s="616" t="s">
        <v>145</v>
      </c>
      <c r="C49" s="617">
        <f>PV(C43,5,,-C48)</f>
        <v>728918017.71742964</v>
      </c>
      <c r="D49" s="613"/>
      <c r="E49" s="71"/>
      <c r="F49" s="71"/>
      <c r="G49" s="71"/>
      <c r="H49" s="618"/>
      <c r="I49" s="618"/>
      <c r="J49" s="47"/>
    </row>
    <row r="50" spans="2:10" x14ac:dyDescent="0.2">
      <c r="B50" s="616" t="s">
        <v>146</v>
      </c>
      <c r="C50" s="619">
        <f>C49/C52</f>
        <v>0.35510556664117676</v>
      </c>
      <c r="D50" s="618"/>
      <c r="E50" s="70"/>
      <c r="F50" s="71"/>
      <c r="G50" s="71"/>
      <c r="H50" s="618"/>
      <c r="I50" s="618"/>
      <c r="J50" s="47"/>
    </row>
    <row r="51" spans="2:10" x14ac:dyDescent="0.2">
      <c r="B51" s="616" t="s">
        <v>148</v>
      </c>
      <c r="C51" s="620">
        <v>0</v>
      </c>
      <c r="D51" s="71"/>
      <c r="E51" s="71"/>
      <c r="F51" s="71"/>
      <c r="G51" s="71"/>
      <c r="H51" s="71"/>
      <c r="I51" s="71"/>
      <c r="J51" s="47"/>
    </row>
    <row r="52" spans="2:10" x14ac:dyDescent="0.2">
      <c r="B52" s="621" t="s">
        <v>183</v>
      </c>
      <c r="C52" s="617">
        <f>C44+C49</f>
        <v>2052679783.6824081</v>
      </c>
      <c r="D52" s="71"/>
      <c r="E52" s="71"/>
      <c r="F52" s="71"/>
      <c r="G52" s="71"/>
      <c r="H52" s="71"/>
      <c r="I52" s="71"/>
      <c r="J52" s="47"/>
    </row>
    <row r="53" spans="2:10" ht="13.5" thickBot="1" x14ac:dyDescent="0.25">
      <c r="B53" s="622" t="s">
        <v>184</v>
      </c>
      <c r="C53" s="623">
        <f>C31</f>
        <v>-309029661.67544001</v>
      </c>
      <c r="D53" s="71"/>
      <c r="E53" s="71"/>
      <c r="F53" s="70"/>
      <c r="G53" s="71"/>
      <c r="H53" s="71"/>
      <c r="I53" s="71"/>
      <c r="J53" s="47"/>
    </row>
    <row r="54" spans="2:10" ht="13.5" thickBot="1" x14ac:dyDescent="0.25">
      <c r="B54" s="611" t="s">
        <v>185</v>
      </c>
      <c r="C54" s="624">
        <f>C44+C49-(-C53)</f>
        <v>1743650122.006968</v>
      </c>
      <c r="D54" s="71"/>
      <c r="E54" s="71"/>
      <c r="F54" s="71"/>
      <c r="G54" s="71"/>
      <c r="H54" s="71"/>
      <c r="I54" s="71"/>
      <c r="J54" s="47"/>
    </row>
    <row r="55" spans="2:10" ht="13.5" thickBot="1" x14ac:dyDescent="0.25">
      <c r="B55" s="625"/>
      <c r="C55" s="626"/>
      <c r="D55" s="71"/>
      <c r="E55" s="71"/>
      <c r="F55" s="71"/>
      <c r="G55" s="627"/>
      <c r="H55" s="71"/>
      <c r="I55" s="71"/>
      <c r="J55" s="47"/>
    </row>
    <row r="56" spans="2:10" ht="13.5" thickBot="1" x14ac:dyDescent="0.25">
      <c r="B56" s="625" t="s">
        <v>375</v>
      </c>
      <c r="C56" s="626">
        <f>+(Costos!D401+Gastos!D52+Gastos!D133+'BG_P&amp;G'!C20+'BG_P&amp;G'!C21)/'BG_P&amp;G'!K15</f>
        <v>1201709422.3934219</v>
      </c>
      <c r="D56" s="71"/>
      <c r="E56" s="71"/>
      <c r="F56" s="71"/>
      <c r="G56" s="71"/>
      <c r="H56" s="71"/>
      <c r="I56" s="71"/>
      <c r="J56" s="47"/>
    </row>
    <row r="57" spans="2:10" x14ac:dyDescent="0.2">
      <c r="B57" s="424"/>
      <c r="C57" s="628"/>
      <c r="D57" s="71"/>
      <c r="E57" s="71"/>
      <c r="F57" s="71"/>
      <c r="G57" s="71"/>
      <c r="H57" s="71"/>
      <c r="I57" s="71"/>
      <c r="J57" s="47"/>
    </row>
    <row r="58" spans="2:10" ht="15" customHeight="1" x14ac:dyDescent="0.2">
      <c r="B58" s="114"/>
      <c r="C58" s="629"/>
      <c r="D58" s="629"/>
      <c r="E58" s="629"/>
      <c r="F58" s="629"/>
      <c r="G58" s="629"/>
      <c r="H58" s="630"/>
      <c r="I58" s="630"/>
      <c r="J58" s="47"/>
    </row>
    <row r="59" spans="2:10" hidden="1" x14ac:dyDescent="0.2">
      <c r="B59" s="815" t="s">
        <v>380</v>
      </c>
      <c r="C59" s="815"/>
      <c r="D59" s="629"/>
      <c r="E59" s="71"/>
      <c r="F59" s="630"/>
      <c r="G59" s="71"/>
      <c r="H59" s="71"/>
      <c r="I59" s="71"/>
      <c r="J59" s="47"/>
    </row>
    <row r="60" spans="2:10" ht="13.5" hidden="1" thickBot="1" x14ac:dyDescent="0.25">
      <c r="B60" s="23"/>
      <c r="C60" s="71"/>
      <c r="D60" s="629"/>
      <c r="E60" s="71"/>
      <c r="F60" s="630"/>
      <c r="G60" s="71"/>
      <c r="H60" s="71"/>
      <c r="I60" s="71"/>
      <c r="J60" s="47"/>
    </row>
    <row r="61" spans="2:10" ht="13.5" hidden="1" thickBot="1" x14ac:dyDescent="0.25">
      <c r="B61" s="603" t="s">
        <v>144</v>
      </c>
      <c r="C61" s="604">
        <v>0.25</v>
      </c>
      <c r="D61" s="629"/>
      <c r="E61" s="71"/>
      <c r="F61" s="630"/>
      <c r="G61" s="71"/>
      <c r="H61" s="71"/>
      <c r="I61" s="71"/>
      <c r="J61" s="47"/>
    </row>
    <row r="62" spans="2:10" hidden="1" x14ac:dyDescent="0.2">
      <c r="B62" s="606" t="s">
        <v>182</v>
      </c>
      <c r="C62" s="607">
        <f>NPV(C61,D35:I35)</f>
        <v>1099957262.9895444</v>
      </c>
      <c r="D62" s="631"/>
      <c r="E62" s="85"/>
      <c r="F62" s="630"/>
      <c r="G62" s="85"/>
      <c r="H62" s="23"/>
      <c r="I62" s="23"/>
      <c r="J62" s="23"/>
    </row>
    <row r="63" spans="2:10" ht="13.5" hidden="1" thickBot="1" x14ac:dyDescent="0.25">
      <c r="B63" s="608" t="s">
        <v>181</v>
      </c>
      <c r="C63" s="609">
        <f>C62/C70</f>
        <v>0.62483719906247803</v>
      </c>
      <c r="D63" s="23"/>
      <c r="E63" s="23"/>
      <c r="F63" s="23"/>
      <c r="G63" s="23"/>
      <c r="H63" s="23"/>
      <c r="I63" s="23"/>
      <c r="J63" s="23"/>
    </row>
    <row r="64" spans="2:10" ht="13.5" hidden="1" thickBot="1" x14ac:dyDescent="0.25">
      <c r="B64" s="611" t="s">
        <v>33</v>
      </c>
      <c r="C64" s="612">
        <f>IRR(C35:I35)</f>
        <v>1.0777616895155657</v>
      </c>
      <c r="D64" s="444"/>
      <c r="E64" s="23"/>
      <c r="F64" s="444"/>
      <c r="G64" s="23"/>
      <c r="H64" s="23"/>
      <c r="I64" s="23"/>
      <c r="J64" s="23"/>
    </row>
    <row r="65" spans="2:10" hidden="1" x14ac:dyDescent="0.2">
      <c r="B65" s="614" t="s">
        <v>34</v>
      </c>
      <c r="C65" s="615">
        <f>MIRR(C35:I35,0.15,0.07)</f>
        <v>0.44133481982832623</v>
      </c>
      <c r="D65" s="23"/>
      <c r="E65" s="23"/>
      <c r="F65" s="23"/>
      <c r="G65" s="23"/>
      <c r="H65" s="23"/>
      <c r="I65" s="23"/>
      <c r="J65" s="23"/>
    </row>
    <row r="66" spans="2:10" hidden="1" x14ac:dyDescent="0.2">
      <c r="B66" s="616" t="s">
        <v>147</v>
      </c>
      <c r="C66" s="617">
        <f>J35</f>
        <v>2015481283.1598437</v>
      </c>
      <c r="D66" s="444"/>
      <c r="E66" s="23"/>
      <c r="F66" s="23"/>
      <c r="G66" s="23"/>
      <c r="H66" s="23"/>
      <c r="I66" s="23"/>
      <c r="J66" s="23"/>
    </row>
    <row r="67" spans="2:10" hidden="1" x14ac:dyDescent="0.2">
      <c r="B67" s="616" t="s">
        <v>145</v>
      </c>
      <c r="C67" s="617">
        <f>PV(C61,5,,-C66)</f>
        <v>660432906.86581755</v>
      </c>
      <c r="D67" s="23"/>
      <c r="E67" s="23"/>
      <c r="F67" s="23"/>
      <c r="G67" s="23"/>
      <c r="H67" s="23"/>
      <c r="I67" s="23"/>
      <c r="J67" s="23"/>
    </row>
    <row r="68" spans="2:10" hidden="1" x14ac:dyDescent="0.2">
      <c r="B68" s="616" t="s">
        <v>146</v>
      </c>
      <c r="C68" s="619">
        <f>C67/C70</f>
        <v>0.37516280093752191</v>
      </c>
      <c r="D68" s="23"/>
      <c r="E68" s="23"/>
      <c r="F68" s="23"/>
      <c r="G68" s="23"/>
      <c r="H68" s="23"/>
      <c r="I68" s="23"/>
      <c r="J68" s="23"/>
    </row>
    <row r="69" spans="2:10" hidden="1" x14ac:dyDescent="0.2">
      <c r="B69" s="616" t="s">
        <v>148</v>
      </c>
      <c r="C69" s="620">
        <v>0</v>
      </c>
      <c r="D69" s="23"/>
      <c r="E69" s="23"/>
      <c r="F69" s="23"/>
      <c r="G69" s="23"/>
      <c r="H69" s="23"/>
      <c r="I69" s="23"/>
      <c r="J69" s="23"/>
    </row>
    <row r="70" spans="2:10" hidden="1" x14ac:dyDescent="0.2">
      <c r="B70" s="621" t="s">
        <v>183</v>
      </c>
      <c r="C70" s="617">
        <f>C62+C67</f>
        <v>1760390169.8553619</v>
      </c>
      <c r="D70" s="23"/>
      <c r="E70" s="23"/>
      <c r="F70" s="23"/>
      <c r="G70" s="23"/>
      <c r="H70" s="23"/>
      <c r="I70" s="23"/>
      <c r="J70" s="23"/>
    </row>
    <row r="71" spans="2:10" ht="13.5" hidden="1" thickBot="1" x14ac:dyDescent="0.25">
      <c r="B71" s="622" t="s">
        <v>184</v>
      </c>
      <c r="C71" s="623">
        <f>C35</f>
        <v>-309029661.67544001</v>
      </c>
      <c r="D71" s="23"/>
      <c r="E71" s="23"/>
      <c r="F71" s="23"/>
      <c r="G71" s="23"/>
      <c r="H71" s="23"/>
      <c r="I71" s="23"/>
      <c r="J71" s="23"/>
    </row>
    <row r="72" spans="2:10" ht="13.5" hidden="1" thickBot="1" x14ac:dyDescent="0.25">
      <c r="B72" s="611" t="s">
        <v>185</v>
      </c>
      <c r="C72" s="624">
        <f>C62+C67-(-C71)</f>
        <v>1451360508.1799219</v>
      </c>
      <c r="D72" s="23"/>
      <c r="E72" s="23"/>
      <c r="F72" s="23"/>
      <c r="G72" s="23"/>
      <c r="H72" s="23"/>
      <c r="I72" s="23"/>
      <c r="J72" s="23"/>
    </row>
    <row r="73" spans="2:10" ht="13.5" hidden="1" thickBot="1" x14ac:dyDescent="0.25">
      <c r="B73" s="625"/>
      <c r="C73" s="626"/>
      <c r="D73" s="23"/>
      <c r="E73" s="23"/>
      <c r="F73" s="23"/>
      <c r="G73" s="23"/>
      <c r="H73" s="23"/>
      <c r="I73" s="23"/>
      <c r="J73" s="444"/>
    </row>
    <row r="74" spans="2:10" ht="13.5" hidden="1" thickBot="1" x14ac:dyDescent="0.25">
      <c r="B74" s="625" t="s">
        <v>375</v>
      </c>
      <c r="C74" s="626">
        <f>+(Costos!D401+Gastos!D52+Gastos!D133+'BG_P&amp;G'!C20+'BG_P&amp;G'!C21)/'BG_P&amp;G'!K15</f>
        <v>1201709422.3934219</v>
      </c>
      <c r="D74" s="23"/>
      <c r="E74" s="23"/>
      <c r="F74" s="23"/>
      <c r="G74" s="23"/>
      <c r="H74" s="23"/>
      <c r="I74" s="23"/>
      <c r="J74" s="23"/>
    </row>
  </sheetData>
  <mergeCells count="3">
    <mergeCell ref="B59:C59"/>
    <mergeCell ref="B12:I12"/>
    <mergeCell ref="B13:I13"/>
  </mergeCells>
  <phoneticPr fontId="0" type="noConversion"/>
  <pageMargins left="0.75" right="0.75" top="1" bottom="1" header="0" footer="0"/>
  <pageSetup paperSize="9" scale="72" orientation="landscape" horizontalDpi="300" verticalDpi="300" r:id="rId1"/>
  <headerFooter alignWithMargins="0"/>
  <drawing r:id="rId2"/>
  <legacyDrawing r:id="rId3"/>
  <controls>
    <mc:AlternateContent xmlns:mc="http://schemas.openxmlformats.org/markup-compatibility/2006">
      <mc:Choice Requires="x14">
        <control shapeId="19465" r:id="rId4" name="CommandButton1">
          <controlPr defaultSize="0" autoLine="0" r:id="rId5">
            <anchor moveWithCells="1">
              <from>
                <xdr:col>1</xdr:col>
                <xdr:colOff>38100</xdr:colOff>
                <xdr:row>0</xdr:row>
                <xdr:rowOff>76200</xdr:rowOff>
              </from>
              <to>
                <xdr:col>1</xdr:col>
                <xdr:colOff>1724025</xdr:colOff>
                <xdr:row>4</xdr:row>
                <xdr:rowOff>19050</xdr:rowOff>
              </to>
            </anchor>
          </controlPr>
        </control>
      </mc:Choice>
      <mc:Fallback>
        <control shapeId="19465" r:id="rId4" name="CommandButton1"/>
      </mc:Fallback>
    </mc:AlternateContent>
  </control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O104"/>
  <sheetViews>
    <sheetView showGridLines="0" topLeftCell="C55" zoomScaleNormal="100" workbookViewId="0">
      <selection activeCell="B78" sqref="B78:N80"/>
    </sheetView>
  </sheetViews>
  <sheetFormatPr baseColWidth="10" defaultRowHeight="12.75" x14ac:dyDescent="0.2"/>
  <cols>
    <col min="1" max="1" width="11.42578125" style="173"/>
    <col min="2" max="2" width="44.28515625" style="172" bestFit="1" customWidth="1"/>
    <col min="3" max="3" width="19" style="517" customWidth="1"/>
    <col min="4" max="4" width="23.42578125" style="517" customWidth="1"/>
    <col min="5" max="5" width="18.140625" style="517" customWidth="1"/>
    <col min="6" max="6" width="21" style="517" customWidth="1"/>
    <col min="7" max="7" width="18.7109375" style="172" customWidth="1"/>
    <col min="8" max="8" width="17.7109375" style="172" customWidth="1"/>
    <col min="9" max="10" width="17.42578125" style="172" customWidth="1"/>
    <col min="11" max="11" width="17.7109375" style="172" customWidth="1"/>
    <col min="12" max="12" width="15.85546875" style="172" customWidth="1"/>
    <col min="13" max="13" width="16.42578125" style="172" customWidth="1"/>
    <col min="14" max="14" width="18.85546875" style="172" customWidth="1"/>
    <col min="15" max="15" width="19" style="172" customWidth="1"/>
    <col min="16" max="16384" width="11.42578125" style="173"/>
  </cols>
  <sheetData>
    <row r="1" spans="2:15" x14ac:dyDescent="0.2">
      <c r="C1" s="172"/>
      <c r="D1" s="172"/>
      <c r="F1" s="172"/>
    </row>
    <row r="7" spans="2:15" x14ac:dyDescent="0.2">
      <c r="C7" s="394"/>
      <c r="D7" s="394"/>
      <c r="E7" s="394"/>
      <c r="F7" s="394"/>
    </row>
    <row r="8" spans="2:15" ht="13.5" thickBot="1" x14ac:dyDescent="0.25"/>
    <row r="9" spans="2:15" ht="16.5" thickBot="1" x14ac:dyDescent="0.3">
      <c r="B9" s="518" t="s">
        <v>331</v>
      </c>
      <c r="C9" s="519" t="s">
        <v>233</v>
      </c>
      <c r="D9" s="519" t="s">
        <v>234</v>
      </c>
      <c r="E9" s="519" t="s">
        <v>235</v>
      </c>
      <c r="F9" s="519" t="s">
        <v>236</v>
      </c>
      <c r="G9" s="519" t="s">
        <v>237</v>
      </c>
      <c r="H9" s="519" t="s">
        <v>238</v>
      </c>
      <c r="I9" s="519" t="s">
        <v>239</v>
      </c>
      <c r="J9" s="519" t="s">
        <v>240</v>
      </c>
      <c r="K9" s="519" t="s">
        <v>241</v>
      </c>
      <c r="L9" s="519" t="s">
        <v>242</v>
      </c>
      <c r="M9" s="519" t="s">
        <v>243</v>
      </c>
      <c r="N9" s="520" t="s">
        <v>244</v>
      </c>
    </row>
    <row r="10" spans="2:15" ht="16.5" thickBot="1" x14ac:dyDescent="0.3">
      <c r="B10" s="518" t="s">
        <v>256</v>
      </c>
      <c r="C10" s="519">
        <v>0</v>
      </c>
      <c r="D10" s="521">
        <f>+C80</f>
        <v>209084811.56429768</v>
      </c>
      <c r="E10" s="521">
        <f t="shared" ref="E10:N10" si="0">+D80</f>
        <v>216718748.41137448</v>
      </c>
      <c r="F10" s="521">
        <f t="shared" si="0"/>
        <v>224404972.21667045</v>
      </c>
      <c r="G10" s="521">
        <f t="shared" si="0"/>
        <v>231893482.98018557</v>
      </c>
      <c r="H10" s="521">
        <f t="shared" si="0"/>
        <v>247076280.70191982</v>
      </c>
      <c r="I10" s="521">
        <f t="shared" si="0"/>
        <v>262311365.38187325</v>
      </c>
      <c r="J10" s="521">
        <f t="shared" si="0"/>
        <v>277348737.02004582</v>
      </c>
      <c r="K10" s="521">
        <f t="shared" si="0"/>
        <v>292688395.61643755</v>
      </c>
      <c r="L10" s="521">
        <f t="shared" si="0"/>
        <v>308080341.1710484</v>
      </c>
      <c r="M10" s="521">
        <f t="shared" si="0"/>
        <v>323274573.68387842</v>
      </c>
      <c r="N10" s="522">
        <f t="shared" si="0"/>
        <v>338771093.15492761</v>
      </c>
      <c r="O10" s="523">
        <f>SUM(C10:N10)</f>
        <v>2931652801.9026585</v>
      </c>
    </row>
    <row r="11" spans="2:15" ht="15" x14ac:dyDescent="0.2">
      <c r="B11" s="524" t="s">
        <v>332</v>
      </c>
      <c r="C11" s="525">
        <f>+Ingresos!C$382</f>
        <v>125143461.62399997</v>
      </c>
      <c r="D11" s="525">
        <f>+Ingresos!D$382</f>
        <v>125143461.62399997</v>
      </c>
      <c r="E11" s="525">
        <f>+Ingresos!E$382</f>
        <v>125143461.62399997</v>
      </c>
      <c r="F11" s="525">
        <f>+Ingresos!F$382</f>
        <v>125143461.62399997</v>
      </c>
      <c r="G11" s="525">
        <f>+Ingresos!G$382</f>
        <v>125143461.62399997</v>
      </c>
      <c r="H11" s="525">
        <f>+Ingresos!H$382</f>
        <v>125143461.62399997</v>
      </c>
      <c r="I11" s="525">
        <f>+Ingresos!I$382</f>
        <v>125143461.62399997</v>
      </c>
      <c r="J11" s="525">
        <f>+Ingresos!J$382</f>
        <v>125143461.62399997</v>
      </c>
      <c r="K11" s="525">
        <f>+Ingresos!K$382</f>
        <v>125143461.62399997</v>
      </c>
      <c r="L11" s="525">
        <f>+Ingresos!L$382</f>
        <v>125143461.62399997</v>
      </c>
      <c r="M11" s="525">
        <f>+Ingresos!M$382</f>
        <v>125143461.62399997</v>
      </c>
      <c r="N11" s="526">
        <f>+Ingresos!N$382</f>
        <v>125143461.62399997</v>
      </c>
      <c r="O11" s="523">
        <f t="shared" ref="O11:O75" si="1">SUM(C11:N11)</f>
        <v>1501721539.4879999</v>
      </c>
    </row>
    <row r="12" spans="2:15" ht="15" x14ac:dyDescent="0.2">
      <c r="B12" s="524" t="s">
        <v>333</v>
      </c>
      <c r="C12" s="527">
        <f>-(C11*Supuestos!$E$44)*(Supuestos!$E$45/Supuestos!$D$41)</f>
        <v>0</v>
      </c>
      <c r="D12" s="527">
        <f>-(D11*Supuestos!$E$44)*(Supuestos!$E$45/Supuestos!$D$41)</f>
        <v>0</v>
      </c>
      <c r="E12" s="527">
        <f>-(E11*Supuestos!$E$44)*(Supuestos!$E$45/Supuestos!$D$41)</f>
        <v>0</v>
      </c>
      <c r="F12" s="527">
        <f>-(F11*Supuestos!$E$44)*(Supuestos!$E$45/Supuestos!$D$41)</f>
        <v>0</v>
      </c>
      <c r="G12" s="527">
        <f>-(G11*Supuestos!$E$44)*(Supuestos!$E$45/Supuestos!$D$41)</f>
        <v>0</v>
      </c>
      <c r="H12" s="527">
        <f>-(H11*Supuestos!$E$44)*(Supuestos!$E$45/Supuestos!$D$41)</f>
        <v>0</v>
      </c>
      <c r="I12" s="527">
        <f>-(I11*Supuestos!$E$44)*(Supuestos!$E$45/Supuestos!$D$41)</f>
        <v>0</v>
      </c>
      <c r="J12" s="527">
        <f>-(J11*Supuestos!$E$44)*(Supuestos!$E$45/Supuestos!$D$41)</f>
        <v>0</v>
      </c>
      <c r="K12" s="527">
        <f>-(K11*Supuestos!$E$44)*(Supuestos!$E$45/Supuestos!$D$41)</f>
        <v>0</v>
      </c>
      <c r="L12" s="527">
        <f>-(L11*Supuestos!$E$44)*(Supuestos!$E$45/Supuestos!$D$41)</f>
        <v>0</v>
      </c>
      <c r="M12" s="527">
        <f>-(M11*Supuestos!$E$44)*(Supuestos!$E$45/Supuestos!$D$41)</f>
        <v>0</v>
      </c>
      <c r="N12" s="528">
        <f>-(N11*Supuestos!$E$44)*(Supuestos!$E$45/Supuestos!$D$41)</f>
        <v>0</v>
      </c>
      <c r="O12" s="523">
        <f t="shared" si="1"/>
        <v>0</v>
      </c>
    </row>
    <row r="13" spans="2:15" ht="15" x14ac:dyDescent="0.2">
      <c r="B13" s="524" t="s">
        <v>334</v>
      </c>
      <c r="C13" s="525">
        <v>0</v>
      </c>
      <c r="D13" s="525">
        <v>0</v>
      </c>
      <c r="E13" s="525">
        <v>0</v>
      </c>
      <c r="F13" s="525">
        <v>0</v>
      </c>
      <c r="G13" s="525">
        <v>0</v>
      </c>
      <c r="H13" s="525">
        <v>0</v>
      </c>
      <c r="I13" s="525">
        <v>0</v>
      </c>
      <c r="J13" s="525">
        <v>0</v>
      </c>
      <c r="K13" s="525">
        <v>0</v>
      </c>
      <c r="L13" s="525">
        <v>0</v>
      </c>
      <c r="M13" s="525">
        <v>0</v>
      </c>
      <c r="N13" s="526">
        <v>0</v>
      </c>
      <c r="O13" s="523">
        <f t="shared" si="1"/>
        <v>0</v>
      </c>
    </row>
    <row r="14" spans="2:15" ht="15.75" thickBot="1" x14ac:dyDescent="0.25">
      <c r="B14" s="524" t="s">
        <v>335</v>
      </c>
      <c r="C14" s="525">
        <f>+'BG_P&amp;G'!C56</f>
        <v>201753161.67544001</v>
      </c>
      <c r="D14" s="525">
        <v>0</v>
      </c>
      <c r="E14" s="525">
        <v>0</v>
      </c>
      <c r="F14" s="525">
        <v>0</v>
      </c>
      <c r="G14" s="525">
        <v>0</v>
      </c>
      <c r="H14" s="525">
        <v>0</v>
      </c>
      <c r="I14" s="525">
        <v>0</v>
      </c>
      <c r="J14" s="525">
        <v>0</v>
      </c>
      <c r="K14" s="525">
        <v>0</v>
      </c>
      <c r="L14" s="525">
        <v>0</v>
      </c>
      <c r="M14" s="525">
        <v>0</v>
      </c>
      <c r="N14" s="526">
        <v>0</v>
      </c>
      <c r="O14" s="523">
        <f t="shared" si="1"/>
        <v>201753161.67544001</v>
      </c>
    </row>
    <row r="15" spans="2:15" ht="16.5" thickBot="1" x14ac:dyDescent="0.3">
      <c r="B15" s="529" t="s">
        <v>336</v>
      </c>
      <c r="C15" s="521">
        <f t="shared" ref="C15:N15" si="2">+SUM(C11:C14)</f>
        <v>326896623.29943997</v>
      </c>
      <c r="D15" s="521">
        <f t="shared" si="2"/>
        <v>125143461.62399997</v>
      </c>
      <c r="E15" s="521">
        <f t="shared" si="2"/>
        <v>125143461.62399997</v>
      </c>
      <c r="F15" s="521">
        <f t="shared" si="2"/>
        <v>125143461.62399997</v>
      </c>
      <c r="G15" s="521">
        <f t="shared" si="2"/>
        <v>125143461.62399997</v>
      </c>
      <c r="H15" s="521">
        <f t="shared" si="2"/>
        <v>125143461.62399997</v>
      </c>
      <c r="I15" s="521">
        <f t="shared" si="2"/>
        <v>125143461.62399997</v>
      </c>
      <c r="J15" s="521">
        <f t="shared" si="2"/>
        <v>125143461.62399997</v>
      </c>
      <c r="K15" s="521">
        <f t="shared" si="2"/>
        <v>125143461.62399997</v>
      </c>
      <c r="L15" s="521">
        <f t="shared" si="2"/>
        <v>125143461.62399997</v>
      </c>
      <c r="M15" s="521">
        <f t="shared" si="2"/>
        <v>125143461.62399997</v>
      </c>
      <c r="N15" s="522">
        <f t="shared" si="2"/>
        <v>125143461.62399997</v>
      </c>
      <c r="O15" s="523">
        <f t="shared" si="1"/>
        <v>1703474701.1634402</v>
      </c>
    </row>
    <row r="16" spans="2:15" ht="15" x14ac:dyDescent="0.2">
      <c r="B16" s="530"/>
      <c r="C16" s="531"/>
      <c r="D16" s="532"/>
      <c r="E16" s="532"/>
      <c r="F16" s="532"/>
      <c r="G16" s="532"/>
      <c r="H16" s="532"/>
      <c r="I16" s="532"/>
      <c r="J16" s="532"/>
      <c r="K16" s="532"/>
      <c r="L16" s="532"/>
      <c r="M16" s="532"/>
      <c r="N16" s="533"/>
      <c r="O16" s="523">
        <f t="shared" si="1"/>
        <v>0</v>
      </c>
    </row>
    <row r="17" spans="2:15" ht="15" x14ac:dyDescent="0.2">
      <c r="B17" s="534" t="s">
        <v>313</v>
      </c>
      <c r="C17" s="535">
        <f>+Costos!D$16</f>
        <v>6280924.7999999998</v>
      </c>
      <c r="D17" s="525">
        <f>+Costos!E$16</f>
        <v>6280924.7999999998</v>
      </c>
      <c r="E17" s="525">
        <f>+Costos!F$16</f>
        <v>6280924.7999999998</v>
      </c>
      <c r="F17" s="525">
        <f>+Costos!G$16</f>
        <v>6280924.7999999998</v>
      </c>
      <c r="G17" s="525">
        <f>+Costos!H$16</f>
        <v>6280924.7999999998</v>
      </c>
      <c r="H17" s="525">
        <f>+Costos!I$16</f>
        <v>6280924.7999999998</v>
      </c>
      <c r="I17" s="525">
        <f>+Costos!J$16</f>
        <v>6280924.7999999998</v>
      </c>
      <c r="J17" s="525">
        <f>+Costos!K$16</f>
        <v>6280924.7999999998</v>
      </c>
      <c r="K17" s="525">
        <f>+Costos!L$16</f>
        <v>6280924.7999999998</v>
      </c>
      <c r="L17" s="525">
        <f>+Costos!M$16</f>
        <v>6280924.7999999998</v>
      </c>
      <c r="M17" s="525">
        <f>+Costos!N$16</f>
        <v>6280924.7999999998</v>
      </c>
      <c r="N17" s="526">
        <f>+Costos!O$16</f>
        <v>6280924.7999999998</v>
      </c>
      <c r="O17" s="523">
        <f t="shared" si="1"/>
        <v>75371097.599999979</v>
      </c>
    </row>
    <row r="18" spans="2:15" ht="15" x14ac:dyDescent="0.2">
      <c r="B18" s="534" t="s">
        <v>301</v>
      </c>
      <c r="C18" s="535">
        <f>+Costos!D$17</f>
        <v>82177287.803259999</v>
      </c>
      <c r="D18" s="525">
        <f>+Costos!E$17</f>
        <v>82177287.803259999</v>
      </c>
      <c r="E18" s="525">
        <f>+Costos!F$17</f>
        <v>82177287.803259999</v>
      </c>
      <c r="F18" s="525">
        <f>+Costos!G$17</f>
        <v>82177287.803259999</v>
      </c>
      <c r="G18" s="525">
        <f>+Costos!H$17</f>
        <v>82177287.803259999</v>
      </c>
      <c r="H18" s="525">
        <f>+Costos!I$17</f>
        <v>82177287.803259999</v>
      </c>
      <c r="I18" s="525">
        <f>+Costos!J$17</f>
        <v>82177287.803259999</v>
      </c>
      <c r="J18" s="525">
        <f>+Costos!K$17</f>
        <v>82177287.803259999</v>
      </c>
      <c r="K18" s="525">
        <f>+Costos!L$17</f>
        <v>82177287.803259999</v>
      </c>
      <c r="L18" s="525">
        <f>+Costos!M$17</f>
        <v>82177287.803259999</v>
      </c>
      <c r="M18" s="525">
        <f>+Costos!N$17</f>
        <v>82177287.803259999</v>
      </c>
      <c r="N18" s="526">
        <f>+Costos!O$17</f>
        <v>82177287.803259999</v>
      </c>
      <c r="O18" s="523">
        <f t="shared" si="1"/>
        <v>986127453.63911974</v>
      </c>
    </row>
    <row r="19" spans="2:15" ht="15" x14ac:dyDescent="0.2">
      <c r="B19" s="524" t="s">
        <v>337</v>
      </c>
      <c r="C19" s="535">
        <f>+-'BG_P&amp;G'!$D$78/12</f>
        <v>0</v>
      </c>
      <c r="D19" s="525">
        <f>+-'BG_P&amp;G'!$D$78/12</f>
        <v>0</v>
      </c>
      <c r="E19" s="525">
        <f>+-'BG_P&amp;G'!$D$78/12</f>
        <v>0</v>
      </c>
      <c r="F19" s="525">
        <f>+-'BG_P&amp;G'!$D$78/12</f>
        <v>0</v>
      </c>
      <c r="G19" s="525">
        <f>+-'BG_P&amp;G'!$D$78/12</f>
        <v>0</v>
      </c>
      <c r="H19" s="525">
        <f>+-'BG_P&amp;G'!$D$78/12</f>
        <v>0</v>
      </c>
      <c r="I19" s="525">
        <f>+-'BG_P&amp;G'!$D$78/12</f>
        <v>0</v>
      </c>
      <c r="J19" s="525">
        <f>+-'BG_P&amp;G'!$D$78/12</f>
        <v>0</v>
      </c>
      <c r="K19" s="525">
        <f>+-'BG_P&amp;G'!$D$78/12</f>
        <v>0</v>
      </c>
      <c r="L19" s="525">
        <f>+-'BG_P&amp;G'!$D$78/12</f>
        <v>0</v>
      </c>
      <c r="M19" s="525">
        <f>+-'BG_P&amp;G'!$D$78/12</f>
        <v>0</v>
      </c>
      <c r="N19" s="526">
        <f>+-'BG_P&amp;G'!$D$78/12</f>
        <v>0</v>
      </c>
      <c r="O19" s="523">
        <f t="shared" si="1"/>
        <v>0</v>
      </c>
    </row>
    <row r="20" spans="2:15" ht="15" x14ac:dyDescent="0.2">
      <c r="B20" s="534" t="s">
        <v>314</v>
      </c>
      <c r="C20" s="535">
        <f>+Costos!D$18</f>
        <v>5832636.2834999999</v>
      </c>
      <c r="D20" s="525">
        <f>+Costos!E$18</f>
        <v>5832636.2834999999</v>
      </c>
      <c r="E20" s="525">
        <f>+Costos!F$18</f>
        <v>5832636.2834999999</v>
      </c>
      <c r="F20" s="525">
        <f>+Costos!G$18</f>
        <v>5832636.2834999999</v>
      </c>
      <c r="G20" s="525">
        <f>+Costos!H$18</f>
        <v>5832636.2834999999</v>
      </c>
      <c r="H20" s="525">
        <f>+Costos!I$18</f>
        <v>5832636.2834999999</v>
      </c>
      <c r="I20" s="525">
        <f>+Costos!J$18</f>
        <v>5832636.2834999999</v>
      </c>
      <c r="J20" s="525">
        <f>+Costos!K$18</f>
        <v>5832636.2834999999</v>
      </c>
      <c r="K20" s="525">
        <f>+Costos!L$18</f>
        <v>5832636.2834999999</v>
      </c>
      <c r="L20" s="525">
        <f>+Costos!M$18</f>
        <v>5832636.2834999999</v>
      </c>
      <c r="M20" s="525">
        <f>+Costos!N$18</f>
        <v>5832636.2834999999</v>
      </c>
      <c r="N20" s="526">
        <f>+Costos!O$18</f>
        <v>5832636.2834999999</v>
      </c>
      <c r="O20" s="523">
        <f t="shared" si="1"/>
        <v>69991635.401999995</v>
      </c>
    </row>
    <row r="21" spans="2:15" ht="15" x14ac:dyDescent="0.2">
      <c r="B21" s="534" t="s">
        <v>316</v>
      </c>
      <c r="C21" s="535">
        <f>+Costos!D$19</f>
        <v>0</v>
      </c>
      <c r="D21" s="525">
        <f>+Costos!E$19</f>
        <v>0</v>
      </c>
      <c r="E21" s="525">
        <f>+Costos!F$19</f>
        <v>0</v>
      </c>
      <c r="F21" s="525">
        <f>+Costos!G$19</f>
        <v>0</v>
      </c>
      <c r="G21" s="525">
        <f>+Costos!H$19</f>
        <v>0</v>
      </c>
      <c r="H21" s="525">
        <f>+Costos!I$19</f>
        <v>0</v>
      </c>
      <c r="I21" s="525">
        <f>+Costos!J$19</f>
        <v>0</v>
      </c>
      <c r="J21" s="525">
        <f>+Costos!K$19</f>
        <v>0</v>
      </c>
      <c r="K21" s="525">
        <f>+Costos!L$19</f>
        <v>0</v>
      </c>
      <c r="L21" s="525">
        <f>+Costos!M$19</f>
        <v>0</v>
      </c>
      <c r="M21" s="525">
        <f>+Costos!N$19</f>
        <v>0</v>
      </c>
      <c r="N21" s="526">
        <f>+Costos!O$19</f>
        <v>0</v>
      </c>
      <c r="O21" s="523">
        <f t="shared" si="1"/>
        <v>0</v>
      </c>
    </row>
    <row r="22" spans="2:15" ht="15" x14ac:dyDescent="0.2">
      <c r="B22" s="534" t="s">
        <v>312</v>
      </c>
      <c r="C22" s="535">
        <f>+Costos!D$15</f>
        <v>0</v>
      </c>
      <c r="D22" s="525">
        <f>+Costos!E$15</f>
        <v>0</v>
      </c>
      <c r="E22" s="525">
        <f>+Costos!F$15</f>
        <v>0</v>
      </c>
      <c r="F22" s="525">
        <f>+Costos!G$15</f>
        <v>0</v>
      </c>
      <c r="G22" s="525">
        <f>+Costos!H$15</f>
        <v>0</v>
      </c>
      <c r="H22" s="525">
        <f>+Costos!I$15</f>
        <v>0</v>
      </c>
      <c r="I22" s="525">
        <f>+Costos!J$15</f>
        <v>0</v>
      </c>
      <c r="J22" s="525">
        <f>+Costos!K$15</f>
        <v>0</v>
      </c>
      <c r="K22" s="525">
        <f>+Costos!L$15</f>
        <v>0</v>
      </c>
      <c r="L22" s="525">
        <f>+Costos!M$15</f>
        <v>0</v>
      </c>
      <c r="M22" s="525">
        <f>+Costos!N$15</f>
        <v>0</v>
      </c>
      <c r="N22" s="526">
        <f>+Costos!O$15</f>
        <v>0</v>
      </c>
      <c r="O22" s="523">
        <f t="shared" si="1"/>
        <v>0</v>
      </c>
    </row>
    <row r="23" spans="2:15" ht="15.75" thickBot="1" x14ac:dyDescent="0.25">
      <c r="B23" s="534"/>
      <c r="C23" s="536"/>
      <c r="D23" s="537"/>
      <c r="E23" s="537"/>
      <c r="F23" s="537"/>
      <c r="G23" s="537"/>
      <c r="H23" s="537"/>
      <c r="I23" s="537"/>
      <c r="J23" s="537"/>
      <c r="K23" s="537"/>
      <c r="L23" s="537"/>
      <c r="M23" s="537"/>
      <c r="N23" s="538"/>
      <c r="O23" s="523">
        <f t="shared" si="1"/>
        <v>0</v>
      </c>
    </row>
    <row r="24" spans="2:15" ht="16.5" thickBot="1" x14ac:dyDescent="0.3">
      <c r="B24" s="529" t="s">
        <v>338</v>
      </c>
      <c r="C24" s="521">
        <f>+SUM(C17:C22)</f>
        <v>94290848.886759996</v>
      </c>
      <c r="D24" s="521">
        <f t="shared" ref="D24:N24" si="3">+SUM(D17:D22)</f>
        <v>94290848.886759996</v>
      </c>
      <c r="E24" s="521">
        <f t="shared" si="3"/>
        <v>94290848.886759996</v>
      </c>
      <c r="F24" s="521">
        <f t="shared" si="3"/>
        <v>94290848.886759996</v>
      </c>
      <c r="G24" s="521">
        <f t="shared" si="3"/>
        <v>94290848.886759996</v>
      </c>
      <c r="H24" s="521">
        <f t="shared" si="3"/>
        <v>94290848.886759996</v>
      </c>
      <c r="I24" s="521">
        <f t="shared" si="3"/>
        <v>94290848.886759996</v>
      </c>
      <c r="J24" s="521">
        <f t="shared" si="3"/>
        <v>94290848.886759996</v>
      </c>
      <c r="K24" s="521">
        <f t="shared" si="3"/>
        <v>94290848.886759996</v>
      </c>
      <c r="L24" s="521">
        <f t="shared" si="3"/>
        <v>94290848.886759996</v>
      </c>
      <c r="M24" s="521">
        <f t="shared" si="3"/>
        <v>94290848.886759996</v>
      </c>
      <c r="N24" s="522">
        <f t="shared" si="3"/>
        <v>94290848.886759996</v>
      </c>
      <c r="O24" s="523">
        <f t="shared" si="1"/>
        <v>1131490186.64112</v>
      </c>
    </row>
    <row r="25" spans="2:15" ht="15" x14ac:dyDescent="0.2">
      <c r="B25" s="524" t="s">
        <v>341</v>
      </c>
      <c r="C25" s="539">
        <f>+Nomina!F59+Nomina!F78</f>
        <v>7392000</v>
      </c>
      <c r="D25" s="540">
        <f>+Nomina!I59+Nomina!I78</f>
        <v>7392000</v>
      </c>
      <c r="E25" s="540">
        <f>+Nomina!L59+Nomina!L78</f>
        <v>7392000</v>
      </c>
      <c r="F25" s="540">
        <f>+Nomina!O59+Nomina!O78</f>
        <v>7392000</v>
      </c>
      <c r="G25" s="540"/>
      <c r="H25" s="540"/>
      <c r="I25" s="540"/>
      <c r="J25" s="540"/>
      <c r="K25" s="540"/>
      <c r="L25" s="540"/>
      <c r="M25" s="540"/>
      <c r="N25" s="541">
        <f>+Nomina!AM59+Nomina!AM78</f>
        <v>7392000</v>
      </c>
      <c r="O25" s="523">
        <f t="shared" si="1"/>
        <v>36960000</v>
      </c>
    </row>
    <row r="26" spans="2:15" ht="15" x14ac:dyDescent="0.2">
      <c r="B26" s="542" t="str">
        <f>+Gastos!B13</f>
        <v>Arriendo</v>
      </c>
      <c r="C26" s="535">
        <f>+Gastos!D13</f>
        <v>4000000</v>
      </c>
      <c r="D26" s="525">
        <f>+Gastos!E13</f>
        <v>4000000</v>
      </c>
      <c r="E26" s="525">
        <f>+Gastos!F13</f>
        <v>4000000</v>
      </c>
      <c r="F26" s="525">
        <f>+Gastos!G13</f>
        <v>4000000</v>
      </c>
      <c r="G26" s="525">
        <f>+Gastos!H13</f>
        <v>4000000</v>
      </c>
      <c r="H26" s="525">
        <f>+Gastos!I13</f>
        <v>4000000</v>
      </c>
      <c r="I26" s="525">
        <f>+Gastos!J13</f>
        <v>4000000</v>
      </c>
      <c r="J26" s="525">
        <f>+Gastos!K13</f>
        <v>4000000</v>
      </c>
      <c r="K26" s="525">
        <f>+Gastos!L13</f>
        <v>4000000</v>
      </c>
      <c r="L26" s="525">
        <f>+Gastos!M13</f>
        <v>4000000</v>
      </c>
      <c r="M26" s="525">
        <f>+Gastos!N13</f>
        <v>4000000</v>
      </c>
      <c r="N26" s="526">
        <f>+Gastos!O13</f>
        <v>4000000</v>
      </c>
      <c r="O26" s="523">
        <f t="shared" si="1"/>
        <v>48000000</v>
      </c>
    </row>
    <row r="27" spans="2:15" ht="15" x14ac:dyDescent="0.2">
      <c r="B27" s="542" t="str">
        <f>+Gastos!B14</f>
        <v>Servicios Públicos</v>
      </c>
      <c r="C27" s="535">
        <f>+Gastos!D14</f>
        <v>1150000</v>
      </c>
      <c r="D27" s="525">
        <f>+Gastos!E14</f>
        <v>1150000</v>
      </c>
      <c r="E27" s="525">
        <f>+Gastos!F14</f>
        <v>1150000</v>
      </c>
      <c r="F27" s="525">
        <f>+Gastos!G14</f>
        <v>1150000</v>
      </c>
      <c r="G27" s="525">
        <f>+Gastos!H14</f>
        <v>1150000</v>
      </c>
      <c r="H27" s="525">
        <f>+Gastos!I14</f>
        <v>1150000</v>
      </c>
      <c r="I27" s="525">
        <f>+Gastos!J14</f>
        <v>1150000</v>
      </c>
      <c r="J27" s="525">
        <f>+Gastos!K14</f>
        <v>1150000</v>
      </c>
      <c r="K27" s="525">
        <f>+Gastos!L14</f>
        <v>1150000</v>
      </c>
      <c r="L27" s="525">
        <f>+Gastos!M14</f>
        <v>1150000</v>
      </c>
      <c r="M27" s="525">
        <f>+Gastos!N14</f>
        <v>1150000</v>
      </c>
      <c r="N27" s="526">
        <f>+Gastos!O14</f>
        <v>1150000</v>
      </c>
      <c r="O27" s="523">
        <f t="shared" si="1"/>
        <v>13800000</v>
      </c>
    </row>
    <row r="28" spans="2:15" ht="15" x14ac:dyDescent="0.2">
      <c r="B28" s="542" t="str">
        <f>+Gastos!B15</f>
        <v>Mantenimiento equipo de computo</v>
      </c>
      <c r="C28" s="535">
        <f>+Gastos!D15</f>
        <v>0</v>
      </c>
      <c r="D28" s="525">
        <f>+Gastos!E15</f>
        <v>0</v>
      </c>
      <c r="E28" s="525">
        <f>+Gastos!F15</f>
        <v>0</v>
      </c>
      <c r="F28" s="525">
        <f>+Gastos!G15</f>
        <v>0</v>
      </c>
      <c r="G28" s="525">
        <f>+Gastos!H15</f>
        <v>0</v>
      </c>
      <c r="H28" s="525">
        <f>+Gastos!I15</f>
        <v>0</v>
      </c>
      <c r="I28" s="525">
        <f>+Gastos!J15</f>
        <v>0</v>
      </c>
      <c r="J28" s="525">
        <f>+Gastos!K15</f>
        <v>0</v>
      </c>
      <c r="K28" s="525">
        <f>+Gastos!L15</f>
        <v>0</v>
      </c>
      <c r="L28" s="525">
        <f>+Gastos!M15</f>
        <v>0</v>
      </c>
      <c r="M28" s="525">
        <f>+Gastos!N15</f>
        <v>0</v>
      </c>
      <c r="N28" s="526">
        <f>+Gastos!O15</f>
        <v>0</v>
      </c>
      <c r="O28" s="523">
        <f t="shared" si="1"/>
        <v>0</v>
      </c>
    </row>
    <row r="29" spans="2:15" ht="15" x14ac:dyDescent="0.2">
      <c r="B29" s="542" t="str">
        <f>+Gastos!B16</f>
        <v>Servicio de comedor</v>
      </c>
      <c r="C29" s="535">
        <f>+Gastos!D16</f>
        <v>0</v>
      </c>
      <c r="D29" s="525">
        <f>+Gastos!E16</f>
        <v>0</v>
      </c>
      <c r="E29" s="525">
        <f>+Gastos!F16</f>
        <v>0</v>
      </c>
      <c r="F29" s="525">
        <f>+Gastos!G16</f>
        <v>0</v>
      </c>
      <c r="G29" s="525">
        <f>+Gastos!H16</f>
        <v>0</v>
      </c>
      <c r="H29" s="525">
        <f>+Gastos!I16</f>
        <v>0</v>
      </c>
      <c r="I29" s="525">
        <f>+Gastos!J16</f>
        <v>0</v>
      </c>
      <c r="J29" s="525">
        <f>+Gastos!K16</f>
        <v>0</v>
      </c>
      <c r="K29" s="525">
        <f>+Gastos!L16</f>
        <v>0</v>
      </c>
      <c r="L29" s="525">
        <f>+Gastos!M16</f>
        <v>0</v>
      </c>
      <c r="M29" s="525">
        <f>+Gastos!N16</f>
        <v>0</v>
      </c>
      <c r="N29" s="526">
        <f>+Gastos!O16</f>
        <v>0</v>
      </c>
      <c r="O29" s="523">
        <f t="shared" si="1"/>
        <v>0</v>
      </c>
    </row>
    <row r="30" spans="2:15" ht="15" x14ac:dyDescent="0.2">
      <c r="B30" s="542" t="str">
        <f>+Gastos!B17</f>
        <v>Suministros de oficina</v>
      </c>
      <c r="C30" s="535">
        <f>+Gastos!D17</f>
        <v>0</v>
      </c>
      <c r="D30" s="525">
        <f>+Gastos!E17</f>
        <v>0</v>
      </c>
      <c r="E30" s="525">
        <f>+Gastos!F17</f>
        <v>0</v>
      </c>
      <c r="F30" s="525">
        <f>+Gastos!G17</f>
        <v>0</v>
      </c>
      <c r="G30" s="525">
        <f>+Gastos!H17</f>
        <v>0</v>
      </c>
      <c r="H30" s="525">
        <f>+Gastos!I17</f>
        <v>0</v>
      </c>
      <c r="I30" s="525">
        <f>+Gastos!J17</f>
        <v>0</v>
      </c>
      <c r="J30" s="525">
        <f>+Gastos!K17</f>
        <v>0</v>
      </c>
      <c r="K30" s="525">
        <f>+Gastos!L17</f>
        <v>0</v>
      </c>
      <c r="L30" s="525">
        <f>+Gastos!M17</f>
        <v>0</v>
      </c>
      <c r="M30" s="525">
        <f>+Gastos!N17</f>
        <v>0</v>
      </c>
      <c r="N30" s="526">
        <f>+Gastos!O17</f>
        <v>0</v>
      </c>
      <c r="O30" s="523">
        <f t="shared" si="1"/>
        <v>0</v>
      </c>
    </row>
    <row r="31" spans="2:15" ht="15" x14ac:dyDescent="0.2">
      <c r="B31" s="542" t="str">
        <f>+Gastos!B18</f>
        <v>Otros</v>
      </c>
      <c r="C31" s="535">
        <f>+Gastos!D18</f>
        <v>0</v>
      </c>
      <c r="D31" s="525">
        <f>+Gastos!E18</f>
        <v>0</v>
      </c>
      <c r="E31" s="525">
        <f>+Gastos!F18</f>
        <v>0</v>
      </c>
      <c r="F31" s="525">
        <f>+Gastos!G18</f>
        <v>0</v>
      </c>
      <c r="G31" s="525">
        <f>+Gastos!H18</f>
        <v>0</v>
      </c>
      <c r="H31" s="525">
        <f>+Gastos!I18</f>
        <v>0</v>
      </c>
      <c r="I31" s="525">
        <f>+Gastos!J18</f>
        <v>0</v>
      </c>
      <c r="J31" s="525">
        <f>+Gastos!K18</f>
        <v>0</v>
      </c>
      <c r="K31" s="525">
        <f>+Gastos!L18</f>
        <v>0</v>
      </c>
      <c r="L31" s="525">
        <f>+Gastos!M18</f>
        <v>0</v>
      </c>
      <c r="M31" s="525">
        <f>+Gastos!N18</f>
        <v>0</v>
      </c>
      <c r="N31" s="526">
        <f>+Gastos!O18</f>
        <v>0</v>
      </c>
      <c r="O31" s="523">
        <f t="shared" si="1"/>
        <v>0</v>
      </c>
    </row>
    <row r="32" spans="2:15" ht="15" x14ac:dyDescent="0.2">
      <c r="B32" s="542" t="str">
        <f>+Gastos!B19</f>
        <v>Suministros de Cafetería y Aseo</v>
      </c>
      <c r="C32" s="535">
        <f>+Gastos!D19</f>
        <v>0</v>
      </c>
      <c r="D32" s="525">
        <f>+Gastos!E19</f>
        <v>0</v>
      </c>
      <c r="E32" s="525">
        <f>+Gastos!F19</f>
        <v>0</v>
      </c>
      <c r="F32" s="525">
        <f>+Gastos!G19</f>
        <v>0</v>
      </c>
      <c r="G32" s="525">
        <f>+Gastos!H19</f>
        <v>0</v>
      </c>
      <c r="H32" s="525">
        <f>+Gastos!I19</f>
        <v>0</v>
      </c>
      <c r="I32" s="525">
        <f>+Gastos!J19</f>
        <v>0</v>
      </c>
      <c r="J32" s="525">
        <f>+Gastos!K19</f>
        <v>0</v>
      </c>
      <c r="K32" s="525">
        <f>+Gastos!L19</f>
        <v>0</v>
      </c>
      <c r="L32" s="525">
        <f>+Gastos!M19</f>
        <v>0</v>
      </c>
      <c r="M32" s="525">
        <f>+Gastos!N19</f>
        <v>0</v>
      </c>
      <c r="N32" s="526">
        <f>+Gastos!O19</f>
        <v>0</v>
      </c>
      <c r="O32" s="523">
        <f t="shared" si="1"/>
        <v>0</v>
      </c>
    </row>
    <row r="33" spans="2:15" ht="15" x14ac:dyDescent="0.2">
      <c r="B33" s="542" t="str">
        <f>+Gastos!B20</f>
        <v>Honorarios contador y Revisor Fiscal</v>
      </c>
      <c r="C33" s="535">
        <f>+Gastos!D20</f>
        <v>600000</v>
      </c>
      <c r="D33" s="525">
        <f>+Gastos!E20</f>
        <v>600000</v>
      </c>
      <c r="E33" s="525">
        <f>+Gastos!F20</f>
        <v>600000</v>
      </c>
      <c r="F33" s="525">
        <f>+Gastos!G20</f>
        <v>600000</v>
      </c>
      <c r="G33" s="525">
        <f>+Gastos!H20</f>
        <v>600000</v>
      </c>
      <c r="H33" s="525">
        <f>+Gastos!I20</f>
        <v>600000</v>
      </c>
      <c r="I33" s="525">
        <f>+Gastos!J20</f>
        <v>600000</v>
      </c>
      <c r="J33" s="525">
        <f>+Gastos!K20</f>
        <v>600000</v>
      </c>
      <c r="K33" s="525">
        <f>+Gastos!L20</f>
        <v>600000</v>
      </c>
      <c r="L33" s="525">
        <f>+Gastos!M20</f>
        <v>600000</v>
      </c>
      <c r="M33" s="525">
        <f>+Gastos!N20</f>
        <v>600000</v>
      </c>
      <c r="N33" s="526">
        <f>+Gastos!O20</f>
        <v>600000</v>
      </c>
      <c r="O33" s="523">
        <f t="shared" si="1"/>
        <v>7200000</v>
      </c>
    </row>
    <row r="34" spans="2:15" ht="15" x14ac:dyDescent="0.2">
      <c r="B34" s="542" t="str">
        <f>+Gastos!B21</f>
        <v>Viáticos y Gastos de Viaje</v>
      </c>
      <c r="C34" s="535">
        <f>+Gastos!D21</f>
        <v>0</v>
      </c>
      <c r="D34" s="525">
        <f>+Gastos!E21</f>
        <v>0</v>
      </c>
      <c r="E34" s="525">
        <f>+Gastos!F21</f>
        <v>0</v>
      </c>
      <c r="F34" s="525">
        <f>+Gastos!G21</f>
        <v>0</v>
      </c>
      <c r="G34" s="525">
        <f>+Gastos!H21</f>
        <v>0</v>
      </c>
      <c r="H34" s="525">
        <f>+Gastos!I21</f>
        <v>0</v>
      </c>
      <c r="I34" s="525">
        <f>+Gastos!J21</f>
        <v>0</v>
      </c>
      <c r="J34" s="525">
        <f>+Gastos!K21</f>
        <v>0</v>
      </c>
      <c r="K34" s="525">
        <f>+Gastos!L21</f>
        <v>0</v>
      </c>
      <c r="L34" s="525">
        <f>+Gastos!M21</f>
        <v>0</v>
      </c>
      <c r="M34" s="525">
        <f>+Gastos!N21</f>
        <v>0</v>
      </c>
      <c r="N34" s="526">
        <f>+Gastos!O21</f>
        <v>0</v>
      </c>
      <c r="O34" s="523">
        <f t="shared" si="1"/>
        <v>0</v>
      </c>
    </row>
    <row r="35" spans="2:15" ht="15" x14ac:dyDescent="0.2">
      <c r="B35" s="542" t="str">
        <f>+Gastos!B22</f>
        <v>Publicidad y Promoción</v>
      </c>
      <c r="C35" s="535">
        <f>+Gastos!D22</f>
        <v>1666667</v>
      </c>
      <c r="D35" s="525">
        <f>+Gastos!E22</f>
        <v>1666667</v>
      </c>
      <c r="E35" s="525">
        <f>+Gastos!F22</f>
        <v>1666667</v>
      </c>
      <c r="F35" s="525">
        <f>+Gastos!G22</f>
        <v>1666667</v>
      </c>
      <c r="G35" s="525">
        <f>+Gastos!H22</f>
        <v>1666667</v>
      </c>
      <c r="H35" s="525">
        <f>+Gastos!I22</f>
        <v>1666667</v>
      </c>
      <c r="I35" s="525">
        <f>+Gastos!J22</f>
        <v>1666667</v>
      </c>
      <c r="J35" s="525">
        <f>+Gastos!K22</f>
        <v>1666667</v>
      </c>
      <c r="K35" s="525">
        <f>+Gastos!L22</f>
        <v>1666667</v>
      </c>
      <c r="L35" s="525">
        <f>+Gastos!M22</f>
        <v>1666667</v>
      </c>
      <c r="M35" s="525">
        <f>+Gastos!N22</f>
        <v>1666667</v>
      </c>
      <c r="N35" s="526">
        <f>+Gastos!O22</f>
        <v>1666667</v>
      </c>
      <c r="O35" s="523">
        <f t="shared" si="1"/>
        <v>20000004</v>
      </c>
    </row>
    <row r="36" spans="2:15" ht="15" x14ac:dyDescent="0.2">
      <c r="B36" s="542" t="str">
        <f>+Gastos!B23</f>
        <v>Asesorias (Capacitación personal)</v>
      </c>
      <c r="C36" s="535">
        <f>+Gastos!D23</f>
        <v>500000</v>
      </c>
      <c r="D36" s="525">
        <f>+Gastos!E23</f>
        <v>500000</v>
      </c>
      <c r="E36" s="525">
        <f>+Gastos!F23</f>
        <v>500000</v>
      </c>
      <c r="F36" s="525">
        <f>+Gastos!G23</f>
        <v>500000</v>
      </c>
      <c r="G36" s="525">
        <f>+Gastos!H23</f>
        <v>500000</v>
      </c>
      <c r="H36" s="525">
        <f>+Gastos!I23</f>
        <v>500000</v>
      </c>
      <c r="I36" s="525">
        <f>+Gastos!J23</f>
        <v>500000</v>
      </c>
      <c r="J36" s="525">
        <f>+Gastos!K23</f>
        <v>500000</v>
      </c>
      <c r="K36" s="525">
        <f>+Gastos!L23</f>
        <v>500000</v>
      </c>
      <c r="L36" s="525">
        <f>+Gastos!M23</f>
        <v>500000</v>
      </c>
      <c r="M36" s="525">
        <f>+Gastos!N23</f>
        <v>500000</v>
      </c>
      <c r="N36" s="526">
        <f>+Gastos!O23</f>
        <v>500000</v>
      </c>
      <c r="O36" s="523">
        <f t="shared" si="1"/>
        <v>6000000</v>
      </c>
    </row>
    <row r="37" spans="2:15" ht="15" x14ac:dyDescent="0.2">
      <c r="B37" s="542" t="str">
        <f>+Gastos!B24</f>
        <v>Material bibliográfico de capacitación</v>
      </c>
      <c r="C37" s="535">
        <f>+Gastos!D24</f>
        <v>20834</v>
      </c>
      <c r="D37" s="525">
        <f>+Gastos!E24</f>
        <v>20834</v>
      </c>
      <c r="E37" s="525">
        <f>+Gastos!F24</f>
        <v>20834</v>
      </c>
      <c r="F37" s="525">
        <f>+Gastos!G24</f>
        <v>20834</v>
      </c>
      <c r="G37" s="525">
        <f>+Gastos!H24</f>
        <v>20834</v>
      </c>
      <c r="H37" s="525">
        <f>+Gastos!I24</f>
        <v>20834</v>
      </c>
      <c r="I37" s="525">
        <f>+Gastos!J24</f>
        <v>20834</v>
      </c>
      <c r="J37" s="525">
        <f>+Gastos!K24</f>
        <v>20834</v>
      </c>
      <c r="K37" s="525">
        <f>+Gastos!L24</f>
        <v>20834</v>
      </c>
      <c r="L37" s="525">
        <f>+Gastos!M24</f>
        <v>20834</v>
      </c>
      <c r="M37" s="525">
        <f>+Gastos!N24</f>
        <v>20834</v>
      </c>
      <c r="N37" s="526">
        <f>+Gastos!O24</f>
        <v>20834</v>
      </c>
      <c r="O37" s="523">
        <f t="shared" si="1"/>
        <v>250008</v>
      </c>
    </row>
    <row r="38" spans="2:15" ht="15" x14ac:dyDescent="0.2">
      <c r="B38" s="542" t="str">
        <f>+Gastos!B25</f>
        <v>Impuestos industria y comercio</v>
      </c>
      <c r="C38" s="535">
        <f>+Gastos!D25</f>
        <v>250000</v>
      </c>
      <c r="D38" s="525">
        <f>+Gastos!E25</f>
        <v>0</v>
      </c>
      <c r="E38" s="525">
        <f>+Gastos!F25</f>
        <v>0</v>
      </c>
      <c r="F38" s="525">
        <f>+Gastos!G25</f>
        <v>250000</v>
      </c>
      <c r="G38" s="525">
        <f>+Gastos!H25</f>
        <v>0</v>
      </c>
      <c r="H38" s="525">
        <f>+Gastos!I25</f>
        <v>0</v>
      </c>
      <c r="I38" s="525">
        <f>+Gastos!J25</f>
        <v>250000</v>
      </c>
      <c r="J38" s="525">
        <f>+Gastos!K25</f>
        <v>0</v>
      </c>
      <c r="K38" s="525">
        <f>+Gastos!L25</f>
        <v>0</v>
      </c>
      <c r="L38" s="525">
        <f>+Gastos!M25</f>
        <v>250000</v>
      </c>
      <c r="M38" s="525">
        <f>+Gastos!N25</f>
        <v>0</v>
      </c>
      <c r="N38" s="526">
        <f>+Gastos!O25</f>
        <v>0</v>
      </c>
      <c r="O38" s="523">
        <f t="shared" si="1"/>
        <v>1000000</v>
      </c>
    </row>
    <row r="39" spans="2:15" ht="15" x14ac:dyDescent="0.2">
      <c r="B39" s="542" t="str">
        <f>+Gastos!B26</f>
        <v>Libros, Periódicos y Revistas</v>
      </c>
      <c r="C39" s="535">
        <f>+Gastos!D26</f>
        <v>0</v>
      </c>
      <c r="D39" s="525">
        <f>+Gastos!E26</f>
        <v>0</v>
      </c>
      <c r="E39" s="525">
        <f>+Gastos!F26</f>
        <v>0</v>
      </c>
      <c r="F39" s="525">
        <f>+Gastos!G26</f>
        <v>0</v>
      </c>
      <c r="G39" s="525">
        <f>+Gastos!H26</f>
        <v>0</v>
      </c>
      <c r="H39" s="525">
        <f>+Gastos!I26</f>
        <v>0</v>
      </c>
      <c r="I39" s="525">
        <f>+Gastos!J26</f>
        <v>0</v>
      </c>
      <c r="J39" s="525">
        <f>+Gastos!K26</f>
        <v>0</v>
      </c>
      <c r="K39" s="525">
        <f>+Gastos!L26</f>
        <v>0</v>
      </c>
      <c r="L39" s="525">
        <f>+Gastos!M26</f>
        <v>0</v>
      </c>
      <c r="M39" s="525">
        <f>+Gastos!N26</f>
        <v>0</v>
      </c>
      <c r="N39" s="526">
        <f>+Gastos!O26</f>
        <v>0</v>
      </c>
      <c r="O39" s="523">
        <f t="shared" si="1"/>
        <v>0</v>
      </c>
    </row>
    <row r="40" spans="2:15" ht="15" x14ac:dyDescent="0.2">
      <c r="B40" s="542" t="str">
        <f>+Gastos!B27</f>
        <v>Registro de estatutos y acta de creación</v>
      </c>
      <c r="C40" s="535">
        <f>+Gastos!D27</f>
        <v>0</v>
      </c>
      <c r="D40" s="525">
        <f>+Gastos!E27</f>
        <v>0</v>
      </c>
      <c r="E40" s="525">
        <f>+Gastos!F27</f>
        <v>0</v>
      </c>
      <c r="F40" s="525">
        <f>+Gastos!G27</f>
        <v>0</v>
      </c>
      <c r="G40" s="525">
        <f>+Gastos!H27</f>
        <v>0</v>
      </c>
      <c r="H40" s="525">
        <f>+Gastos!I27</f>
        <v>0</v>
      </c>
      <c r="I40" s="525">
        <f>+Gastos!J27</f>
        <v>0</v>
      </c>
      <c r="J40" s="525">
        <f>+Gastos!K27</f>
        <v>0</v>
      </c>
      <c r="K40" s="525">
        <f>+Gastos!L27</f>
        <v>0</v>
      </c>
      <c r="L40" s="525">
        <f>+Gastos!M27</f>
        <v>0</v>
      </c>
      <c r="M40" s="525">
        <f>+Gastos!N27</f>
        <v>0</v>
      </c>
      <c r="N40" s="526">
        <f>+Gastos!O27</f>
        <v>0</v>
      </c>
      <c r="O40" s="523">
        <f t="shared" si="1"/>
        <v>0</v>
      </c>
    </row>
    <row r="41" spans="2:15" ht="15" x14ac:dyDescent="0.2">
      <c r="B41" s="542" t="str">
        <f>+Gastos!B28</f>
        <v>Inscripción camara de comercio del nordeste y Magdalena medio</v>
      </c>
      <c r="C41" s="535">
        <f>+Gastos!D28</f>
        <v>0</v>
      </c>
      <c r="D41" s="525">
        <f>+Gastos!E28</f>
        <v>0</v>
      </c>
      <c r="E41" s="525">
        <f>+Gastos!F28</f>
        <v>0</v>
      </c>
      <c r="F41" s="525">
        <f>+Gastos!G28</f>
        <v>0</v>
      </c>
      <c r="G41" s="525">
        <f>+Gastos!H28</f>
        <v>0</v>
      </c>
      <c r="H41" s="525">
        <f>+Gastos!I28</f>
        <v>0</v>
      </c>
      <c r="I41" s="525">
        <f>+Gastos!J28</f>
        <v>0</v>
      </c>
      <c r="J41" s="525">
        <f>+Gastos!K28</f>
        <v>0</v>
      </c>
      <c r="K41" s="525">
        <f>+Gastos!L28</f>
        <v>0</v>
      </c>
      <c r="L41" s="525">
        <f>+Gastos!M28</f>
        <v>0</v>
      </c>
      <c r="M41" s="525">
        <f>+Gastos!N28</f>
        <v>0</v>
      </c>
      <c r="N41" s="526">
        <f>+Gastos!O28</f>
        <v>0</v>
      </c>
      <c r="O41" s="523">
        <f t="shared" si="1"/>
        <v>0</v>
      </c>
    </row>
    <row r="42" spans="2:15" ht="15" x14ac:dyDescent="0.2">
      <c r="B42" s="542" t="str">
        <f>+Gastos!B29</f>
        <v>Certificado seguridad bomberos</v>
      </c>
      <c r="C42" s="535">
        <f>+Gastos!D29</f>
        <v>0</v>
      </c>
      <c r="D42" s="525">
        <f>+Gastos!E29</f>
        <v>0</v>
      </c>
      <c r="E42" s="525">
        <f>+Gastos!F29</f>
        <v>0</v>
      </c>
      <c r="F42" s="525">
        <f>+Gastos!G29</f>
        <v>0</v>
      </c>
      <c r="G42" s="525">
        <f>+Gastos!H29</f>
        <v>0</v>
      </c>
      <c r="H42" s="525">
        <f>+Gastos!I29</f>
        <v>0</v>
      </c>
      <c r="I42" s="525">
        <f>+Gastos!J29</f>
        <v>0</v>
      </c>
      <c r="J42" s="525">
        <f>+Gastos!K29</f>
        <v>0</v>
      </c>
      <c r="K42" s="525">
        <f>+Gastos!L29</f>
        <v>0</v>
      </c>
      <c r="L42" s="525">
        <f>+Gastos!M29</f>
        <v>0</v>
      </c>
      <c r="M42" s="525">
        <f>+Gastos!N29</f>
        <v>0</v>
      </c>
      <c r="N42" s="526">
        <f>+Gastos!O29</f>
        <v>0</v>
      </c>
      <c r="O42" s="523">
        <f t="shared" si="1"/>
        <v>0</v>
      </c>
    </row>
    <row r="43" spans="2:15" ht="15" x14ac:dyDescent="0.2">
      <c r="B43" s="542" t="str">
        <f>+Gastos!B30</f>
        <v>Registro de sanidad</v>
      </c>
      <c r="C43" s="535">
        <f>+Gastos!D30</f>
        <v>0</v>
      </c>
      <c r="D43" s="525">
        <f>+Gastos!E30</f>
        <v>0</v>
      </c>
      <c r="E43" s="525">
        <f>+Gastos!F30</f>
        <v>0</v>
      </c>
      <c r="F43" s="525">
        <f>+Gastos!G30</f>
        <v>0</v>
      </c>
      <c r="G43" s="525">
        <f>+Gastos!H30</f>
        <v>0</v>
      </c>
      <c r="H43" s="525">
        <f>+Gastos!I30</f>
        <v>0</v>
      </c>
      <c r="I43" s="525">
        <f>+Gastos!J30</f>
        <v>0</v>
      </c>
      <c r="J43" s="525">
        <f>+Gastos!K30</f>
        <v>0</v>
      </c>
      <c r="K43" s="525">
        <f>+Gastos!L30</f>
        <v>0</v>
      </c>
      <c r="L43" s="525">
        <f>+Gastos!M30</f>
        <v>0</v>
      </c>
      <c r="M43" s="525">
        <f>+Gastos!N30</f>
        <v>0</v>
      </c>
      <c r="N43" s="526">
        <f>+Gastos!O30</f>
        <v>0</v>
      </c>
      <c r="O43" s="523">
        <f t="shared" si="1"/>
        <v>0</v>
      </c>
    </row>
    <row r="44" spans="2:15" ht="15" x14ac:dyDescent="0.2">
      <c r="B44" s="542" t="str">
        <f>+Gastos!B31</f>
        <v>Consulta del nombre</v>
      </c>
      <c r="C44" s="535">
        <f>+Gastos!D31</f>
        <v>0</v>
      </c>
      <c r="D44" s="525">
        <f>+Gastos!E31</f>
        <v>0</v>
      </c>
      <c r="E44" s="525">
        <f>+Gastos!F31</f>
        <v>0</v>
      </c>
      <c r="F44" s="525">
        <f>+Gastos!G31</f>
        <v>0</v>
      </c>
      <c r="G44" s="525">
        <f>+Gastos!H31</f>
        <v>0</v>
      </c>
      <c r="H44" s="525">
        <f>+Gastos!I31</f>
        <v>0</v>
      </c>
      <c r="I44" s="525">
        <f>+Gastos!J31</f>
        <v>0</v>
      </c>
      <c r="J44" s="525">
        <f>+Gastos!K31</f>
        <v>0</v>
      </c>
      <c r="K44" s="525">
        <f>+Gastos!L31</f>
        <v>0</v>
      </c>
      <c r="L44" s="525">
        <f>+Gastos!M31</f>
        <v>0</v>
      </c>
      <c r="M44" s="525">
        <f>+Gastos!N31</f>
        <v>0</v>
      </c>
      <c r="N44" s="526">
        <f>+Gastos!O31</f>
        <v>0</v>
      </c>
      <c r="O44" s="523">
        <f t="shared" si="1"/>
        <v>0</v>
      </c>
    </row>
    <row r="45" spans="2:15" ht="15" x14ac:dyDescent="0.2">
      <c r="B45" s="542" t="str">
        <f>+Gastos!B32</f>
        <v>Fotocopias y papelería</v>
      </c>
      <c r="C45" s="535">
        <f>+Gastos!D32</f>
        <v>12500</v>
      </c>
      <c r="D45" s="525">
        <f>+Gastos!E32</f>
        <v>12500</v>
      </c>
      <c r="E45" s="525">
        <f>+Gastos!F32</f>
        <v>12500</v>
      </c>
      <c r="F45" s="525">
        <f>+Gastos!G32</f>
        <v>12500</v>
      </c>
      <c r="G45" s="525">
        <f>+Gastos!H32</f>
        <v>12500</v>
      </c>
      <c r="H45" s="525">
        <f>+Gastos!I32</f>
        <v>12500</v>
      </c>
      <c r="I45" s="525">
        <f>+Gastos!J32</f>
        <v>12500</v>
      </c>
      <c r="J45" s="525">
        <f>+Gastos!K32</f>
        <v>12500</v>
      </c>
      <c r="K45" s="525">
        <f>+Gastos!L32</f>
        <v>12500</v>
      </c>
      <c r="L45" s="525">
        <f>+Gastos!M32</f>
        <v>12500</v>
      </c>
      <c r="M45" s="525">
        <f>+Gastos!N32</f>
        <v>12500</v>
      </c>
      <c r="N45" s="526">
        <f>+Gastos!O32</f>
        <v>12500</v>
      </c>
      <c r="O45" s="523">
        <f t="shared" si="1"/>
        <v>150000</v>
      </c>
    </row>
    <row r="46" spans="2:15" ht="15" x14ac:dyDescent="0.2">
      <c r="B46" s="542" t="str">
        <f>+Gastos!B33</f>
        <v>Afiliaciones y Sostenimiento</v>
      </c>
      <c r="C46" s="535">
        <f>+Gastos!D33</f>
        <v>0</v>
      </c>
      <c r="D46" s="525">
        <f>+Gastos!E33</f>
        <v>0</v>
      </c>
      <c r="E46" s="525">
        <f>+Gastos!F33</f>
        <v>0</v>
      </c>
      <c r="F46" s="525">
        <f>+Gastos!G33</f>
        <v>0</v>
      </c>
      <c r="G46" s="525">
        <f>+Gastos!H33</f>
        <v>0</v>
      </c>
      <c r="H46" s="525">
        <f>+Gastos!I33</f>
        <v>0</v>
      </c>
      <c r="I46" s="525">
        <f>+Gastos!J33</f>
        <v>0</v>
      </c>
      <c r="J46" s="525">
        <f>+Gastos!K33</f>
        <v>0</v>
      </c>
      <c r="K46" s="525">
        <f>+Gastos!L33</f>
        <v>0</v>
      </c>
      <c r="L46" s="525">
        <f>+Gastos!M33</f>
        <v>0</v>
      </c>
      <c r="M46" s="525">
        <f>+Gastos!N33</f>
        <v>0</v>
      </c>
      <c r="N46" s="526">
        <f>+Gastos!O33</f>
        <v>0</v>
      </c>
      <c r="O46" s="523">
        <f t="shared" si="1"/>
        <v>0</v>
      </c>
    </row>
    <row r="47" spans="2:15" ht="15" x14ac:dyDescent="0.2">
      <c r="B47" s="542" t="str">
        <f>+Gastos!B34</f>
        <v>Participación en ferias</v>
      </c>
      <c r="C47" s="535">
        <f>+Gastos!D34</f>
        <v>0</v>
      </c>
      <c r="D47" s="525">
        <f>+Gastos!E34</f>
        <v>0</v>
      </c>
      <c r="E47" s="525">
        <f>+Gastos!F34</f>
        <v>0</v>
      </c>
      <c r="F47" s="525">
        <f>+Gastos!G34</f>
        <v>0</v>
      </c>
      <c r="G47" s="525">
        <f>+Gastos!H34</f>
        <v>0</v>
      </c>
      <c r="H47" s="525">
        <f>+Gastos!I34</f>
        <v>0</v>
      </c>
      <c r="I47" s="525">
        <f>+Gastos!J34</f>
        <v>0</v>
      </c>
      <c r="J47" s="525">
        <f>+Gastos!K34</f>
        <v>0</v>
      </c>
      <c r="K47" s="525">
        <f>+Gastos!L34</f>
        <v>0</v>
      </c>
      <c r="L47" s="525">
        <f>+Gastos!M34</f>
        <v>0</v>
      </c>
      <c r="M47" s="525">
        <f>+Gastos!N34</f>
        <v>0</v>
      </c>
      <c r="N47" s="526">
        <f>+Gastos!O34</f>
        <v>0</v>
      </c>
      <c r="O47" s="523">
        <f t="shared" si="1"/>
        <v>0</v>
      </c>
    </row>
    <row r="48" spans="2:15" ht="15" x14ac:dyDescent="0.2">
      <c r="B48" s="542" t="str">
        <f>+Gastos!B35</f>
        <v>Relaciones publicas</v>
      </c>
      <c r="C48" s="535">
        <f>+Gastos!D35</f>
        <v>0</v>
      </c>
      <c r="D48" s="525">
        <f>+Gastos!E35</f>
        <v>0</v>
      </c>
      <c r="E48" s="525">
        <f>+Gastos!F35</f>
        <v>0</v>
      </c>
      <c r="F48" s="525">
        <f>+Gastos!G35</f>
        <v>0</v>
      </c>
      <c r="G48" s="525">
        <f>+Gastos!H35</f>
        <v>0</v>
      </c>
      <c r="H48" s="525">
        <f>+Gastos!I35</f>
        <v>0</v>
      </c>
      <c r="I48" s="525">
        <f>+Gastos!J35</f>
        <v>0</v>
      </c>
      <c r="J48" s="525">
        <f>+Gastos!K35</f>
        <v>0</v>
      </c>
      <c r="K48" s="525">
        <f>+Gastos!L35</f>
        <v>0</v>
      </c>
      <c r="L48" s="525">
        <f>+Gastos!M35</f>
        <v>0</v>
      </c>
      <c r="M48" s="525">
        <f>+Gastos!N35</f>
        <v>0</v>
      </c>
      <c r="N48" s="526">
        <f>+Gastos!O35</f>
        <v>0</v>
      </c>
      <c r="O48" s="523">
        <f t="shared" si="1"/>
        <v>0</v>
      </c>
    </row>
    <row r="49" spans="2:15" ht="15" x14ac:dyDescent="0.2">
      <c r="B49" s="542" t="str">
        <f>+Gastos!B36</f>
        <v>Combustibles y lubricantes</v>
      </c>
      <c r="C49" s="535">
        <f>+Gastos!D36</f>
        <v>150000</v>
      </c>
      <c r="D49" s="525">
        <f>+Gastos!E36</f>
        <v>150000</v>
      </c>
      <c r="E49" s="525">
        <f>+Gastos!F36</f>
        <v>150000</v>
      </c>
      <c r="F49" s="525">
        <f>+Gastos!G36</f>
        <v>150000</v>
      </c>
      <c r="G49" s="525">
        <f>+Gastos!H36</f>
        <v>150000</v>
      </c>
      <c r="H49" s="525">
        <f>+Gastos!I36</f>
        <v>150000</v>
      </c>
      <c r="I49" s="525">
        <f>+Gastos!J36</f>
        <v>150000</v>
      </c>
      <c r="J49" s="525">
        <f>+Gastos!K36</f>
        <v>150000</v>
      </c>
      <c r="K49" s="525">
        <f>+Gastos!L36</f>
        <v>150000</v>
      </c>
      <c r="L49" s="525">
        <f>+Gastos!M36</f>
        <v>150000</v>
      </c>
      <c r="M49" s="525">
        <f>+Gastos!N36</f>
        <v>150000</v>
      </c>
      <c r="N49" s="526">
        <f>+Gastos!O36</f>
        <v>150000</v>
      </c>
      <c r="O49" s="523">
        <f t="shared" si="1"/>
        <v>1800000</v>
      </c>
    </row>
    <row r="50" spans="2:15" ht="15" x14ac:dyDescent="0.2">
      <c r="B50" s="542" t="str">
        <f>+Gastos!B37</f>
        <v>Otros de ventas (servicio externo de mensajería)</v>
      </c>
      <c r="C50" s="535">
        <f>+Gastos!D37</f>
        <v>0</v>
      </c>
      <c r="D50" s="525">
        <f>+Gastos!E37</f>
        <v>0</v>
      </c>
      <c r="E50" s="525">
        <f>+Gastos!F37</f>
        <v>0</v>
      </c>
      <c r="F50" s="525">
        <f>+Gastos!G37</f>
        <v>0</v>
      </c>
      <c r="G50" s="525">
        <f>+Gastos!H37</f>
        <v>0</v>
      </c>
      <c r="H50" s="525">
        <f>+Gastos!I37</f>
        <v>0</v>
      </c>
      <c r="I50" s="525">
        <f>+Gastos!J37</f>
        <v>0</v>
      </c>
      <c r="J50" s="525">
        <f>+Gastos!K37</f>
        <v>0</v>
      </c>
      <c r="K50" s="525">
        <f>+Gastos!L37</f>
        <v>0</v>
      </c>
      <c r="L50" s="525">
        <f>+Gastos!M37</f>
        <v>0</v>
      </c>
      <c r="M50" s="525">
        <f>+Gastos!N37</f>
        <v>0</v>
      </c>
      <c r="N50" s="526">
        <f>+Gastos!O37</f>
        <v>0</v>
      </c>
      <c r="O50" s="523">
        <f t="shared" si="1"/>
        <v>0</v>
      </c>
    </row>
    <row r="51" spans="2:15" ht="15" x14ac:dyDescent="0.2">
      <c r="B51" s="542" t="str">
        <f>+Gastos!B38</f>
        <v>Hosting y dominio de la página web</v>
      </c>
      <c r="C51" s="535">
        <f>+Gastos!D38</f>
        <v>0</v>
      </c>
      <c r="D51" s="525">
        <f>+Gastos!E38</f>
        <v>0</v>
      </c>
      <c r="E51" s="525">
        <f>+Gastos!F38</f>
        <v>0</v>
      </c>
      <c r="F51" s="525">
        <f>+Gastos!G38</f>
        <v>0</v>
      </c>
      <c r="G51" s="525">
        <f>+Gastos!H38</f>
        <v>0</v>
      </c>
      <c r="H51" s="525">
        <f>+Gastos!I38</f>
        <v>0</v>
      </c>
      <c r="I51" s="525">
        <f>+Gastos!J38</f>
        <v>0</v>
      </c>
      <c r="J51" s="525">
        <f>+Gastos!K38</f>
        <v>0</v>
      </c>
      <c r="K51" s="525">
        <f>+Gastos!L38</f>
        <v>0</v>
      </c>
      <c r="L51" s="525">
        <f>+Gastos!M38</f>
        <v>0</v>
      </c>
      <c r="M51" s="525">
        <f>+Gastos!N38</f>
        <v>0</v>
      </c>
      <c r="N51" s="526">
        <f>+Gastos!O38</f>
        <v>0</v>
      </c>
      <c r="O51" s="523">
        <f t="shared" si="1"/>
        <v>0</v>
      </c>
    </row>
    <row r="52" spans="2:15" ht="15" x14ac:dyDescent="0.2">
      <c r="B52" s="542" t="str">
        <f>+Gastos!B39</f>
        <v xml:space="preserve">Asistencia Técnica </v>
      </c>
      <c r="C52" s="535">
        <f>+Gastos!D39</f>
        <v>0</v>
      </c>
      <c r="D52" s="525">
        <f>+Gastos!E39</f>
        <v>0</v>
      </c>
      <c r="E52" s="525">
        <f>+Gastos!F39</f>
        <v>0</v>
      </c>
      <c r="F52" s="525">
        <f>+Gastos!G39</f>
        <v>0</v>
      </c>
      <c r="G52" s="525">
        <f>+Gastos!H39</f>
        <v>0</v>
      </c>
      <c r="H52" s="525">
        <f>+Gastos!I39</f>
        <v>0</v>
      </c>
      <c r="I52" s="525">
        <f>+Gastos!J39</f>
        <v>0</v>
      </c>
      <c r="J52" s="525">
        <f>+Gastos!K39</f>
        <v>0</v>
      </c>
      <c r="K52" s="525">
        <f>+Gastos!L39</f>
        <v>0</v>
      </c>
      <c r="L52" s="525">
        <f>+Gastos!M39</f>
        <v>0</v>
      </c>
      <c r="M52" s="525">
        <f>+Gastos!N39</f>
        <v>0</v>
      </c>
      <c r="N52" s="526">
        <f>+Gastos!O39</f>
        <v>0</v>
      </c>
      <c r="O52" s="523">
        <f t="shared" si="1"/>
        <v>0</v>
      </c>
    </row>
    <row r="53" spans="2:15" ht="15" x14ac:dyDescent="0.2">
      <c r="B53" s="542" t="str">
        <f>+Gastos!B40</f>
        <v>Transporte Fletes y Acarreos</v>
      </c>
      <c r="C53" s="535">
        <f>+Gastos!D40</f>
        <v>0</v>
      </c>
      <c r="D53" s="525">
        <f>+Gastos!E40</f>
        <v>0</v>
      </c>
      <c r="E53" s="525">
        <f>+Gastos!F40</f>
        <v>0</v>
      </c>
      <c r="F53" s="525">
        <f>+Gastos!G40</f>
        <v>0</v>
      </c>
      <c r="G53" s="525">
        <f>+Gastos!H40</f>
        <v>0</v>
      </c>
      <c r="H53" s="525">
        <f>+Gastos!I40</f>
        <v>0</v>
      </c>
      <c r="I53" s="525">
        <f>+Gastos!J40</f>
        <v>0</v>
      </c>
      <c r="J53" s="525">
        <f>+Gastos!K40</f>
        <v>0</v>
      </c>
      <c r="K53" s="525">
        <f>+Gastos!L40</f>
        <v>0</v>
      </c>
      <c r="L53" s="525">
        <f>+Gastos!M40</f>
        <v>0</v>
      </c>
      <c r="M53" s="525">
        <f>+Gastos!N40</f>
        <v>0</v>
      </c>
      <c r="N53" s="526">
        <f>+Gastos!O40</f>
        <v>0</v>
      </c>
      <c r="O53" s="523">
        <f t="shared" si="1"/>
        <v>0</v>
      </c>
    </row>
    <row r="54" spans="2:15" ht="15" x14ac:dyDescent="0.2">
      <c r="B54" s="542" t="str">
        <f>+Gastos!B41</f>
        <v>Mantenimientos Construcciones y Edificaciones</v>
      </c>
      <c r="C54" s="535">
        <f>+Gastos!D41</f>
        <v>0</v>
      </c>
      <c r="D54" s="525">
        <f>+Gastos!E41</f>
        <v>0</v>
      </c>
      <c r="E54" s="525">
        <f>+Gastos!F41</f>
        <v>0</v>
      </c>
      <c r="F54" s="525">
        <f>+Gastos!G41</f>
        <v>0</v>
      </c>
      <c r="G54" s="525">
        <f>+Gastos!H41</f>
        <v>0</v>
      </c>
      <c r="H54" s="525">
        <f>+Gastos!I41</f>
        <v>0</v>
      </c>
      <c r="I54" s="525">
        <f>+Gastos!J41</f>
        <v>0</v>
      </c>
      <c r="J54" s="525">
        <f>+Gastos!K41</f>
        <v>0</v>
      </c>
      <c r="K54" s="525">
        <f>+Gastos!L41</f>
        <v>0</v>
      </c>
      <c r="L54" s="525">
        <f>+Gastos!M41</f>
        <v>0</v>
      </c>
      <c r="M54" s="525">
        <f>+Gastos!N41</f>
        <v>0</v>
      </c>
      <c r="N54" s="526">
        <f>+Gastos!O41</f>
        <v>0</v>
      </c>
      <c r="O54" s="523">
        <f t="shared" si="1"/>
        <v>0</v>
      </c>
    </row>
    <row r="55" spans="2:15" ht="15" x14ac:dyDescent="0.2">
      <c r="B55" s="542" t="str">
        <f>+Gastos!B42</f>
        <v>Mantenimientos Maquinaria y Equipo</v>
      </c>
      <c r="C55" s="535">
        <f>+Gastos!D42</f>
        <v>0</v>
      </c>
      <c r="D55" s="525">
        <f>+Gastos!E42</f>
        <v>0</v>
      </c>
      <c r="E55" s="525">
        <f>+Gastos!F42</f>
        <v>0</v>
      </c>
      <c r="F55" s="525">
        <f>+Gastos!G42</f>
        <v>0</v>
      </c>
      <c r="G55" s="525">
        <f>+Gastos!H42</f>
        <v>0</v>
      </c>
      <c r="H55" s="525">
        <f>+Gastos!I42</f>
        <v>0</v>
      </c>
      <c r="I55" s="525">
        <f>+Gastos!J42</f>
        <v>0</v>
      </c>
      <c r="J55" s="525">
        <f>+Gastos!K42</f>
        <v>0</v>
      </c>
      <c r="K55" s="525">
        <f>+Gastos!L42</f>
        <v>0</v>
      </c>
      <c r="L55" s="525">
        <f>+Gastos!M42</f>
        <v>0</v>
      </c>
      <c r="M55" s="525">
        <f>+Gastos!N42</f>
        <v>0</v>
      </c>
      <c r="N55" s="526">
        <f>+Gastos!O42</f>
        <v>0</v>
      </c>
      <c r="O55" s="523">
        <f t="shared" si="1"/>
        <v>0</v>
      </c>
    </row>
    <row r="56" spans="2:15" ht="15" x14ac:dyDescent="0.2">
      <c r="B56" s="542" t="str">
        <f>+Gastos!B43</f>
        <v>BPM</v>
      </c>
      <c r="C56" s="535">
        <f>+Gastos!D43</f>
        <v>0</v>
      </c>
      <c r="D56" s="525">
        <f>+Gastos!E43</f>
        <v>0</v>
      </c>
      <c r="E56" s="525">
        <f>+Gastos!F43</f>
        <v>0</v>
      </c>
      <c r="F56" s="525">
        <f>+Gastos!G43</f>
        <v>0</v>
      </c>
      <c r="G56" s="525">
        <f>+Gastos!H43</f>
        <v>0</v>
      </c>
      <c r="H56" s="525">
        <f>+Gastos!I43</f>
        <v>0</v>
      </c>
      <c r="I56" s="525">
        <f>+Gastos!J43</f>
        <v>0</v>
      </c>
      <c r="J56" s="525">
        <f>+Gastos!K43</f>
        <v>0</v>
      </c>
      <c r="K56" s="525">
        <f>+Gastos!L43</f>
        <v>0</v>
      </c>
      <c r="L56" s="525">
        <f>+Gastos!M43</f>
        <v>0</v>
      </c>
      <c r="M56" s="525">
        <f>+Gastos!N43</f>
        <v>0</v>
      </c>
      <c r="N56" s="526">
        <f>+Gastos!O43</f>
        <v>0</v>
      </c>
      <c r="O56" s="523">
        <f t="shared" si="1"/>
        <v>0</v>
      </c>
    </row>
    <row r="57" spans="2:15" ht="15" x14ac:dyDescent="0.2">
      <c r="B57" s="542" t="str">
        <f>+Gastos!B44</f>
        <v>Taxis y Buses (pasajes Personal de Producción)</v>
      </c>
      <c r="C57" s="535">
        <f>+Gastos!D44</f>
        <v>0</v>
      </c>
      <c r="D57" s="525">
        <f>+Gastos!E44</f>
        <v>0</v>
      </c>
      <c r="E57" s="525">
        <f>+Gastos!F44</f>
        <v>0</v>
      </c>
      <c r="F57" s="525">
        <f>+Gastos!G44</f>
        <v>0</v>
      </c>
      <c r="G57" s="525">
        <f>+Gastos!H44</f>
        <v>0</v>
      </c>
      <c r="H57" s="525">
        <f>+Gastos!I44</f>
        <v>0</v>
      </c>
      <c r="I57" s="525">
        <f>+Gastos!J44</f>
        <v>0</v>
      </c>
      <c r="J57" s="525">
        <f>+Gastos!K44</f>
        <v>0</v>
      </c>
      <c r="K57" s="525">
        <f>+Gastos!L44</f>
        <v>0</v>
      </c>
      <c r="L57" s="525">
        <f>+Gastos!M44</f>
        <v>0</v>
      </c>
      <c r="M57" s="525">
        <f>+Gastos!N44</f>
        <v>0</v>
      </c>
      <c r="N57" s="526">
        <f>+Gastos!O44</f>
        <v>0</v>
      </c>
      <c r="O57" s="523">
        <f t="shared" si="1"/>
        <v>0</v>
      </c>
    </row>
    <row r="58" spans="2:15" ht="15" x14ac:dyDescent="0.2">
      <c r="B58" s="542" t="str">
        <f>+Gastos!B45</f>
        <v>Casino y Restaurante</v>
      </c>
      <c r="C58" s="535">
        <f>+Gastos!D45</f>
        <v>0</v>
      </c>
      <c r="D58" s="525">
        <f>+Gastos!E45</f>
        <v>0</v>
      </c>
      <c r="E58" s="525">
        <f>+Gastos!F45</f>
        <v>0</v>
      </c>
      <c r="F58" s="525">
        <f>+Gastos!G45</f>
        <v>0</v>
      </c>
      <c r="G58" s="525">
        <f>+Gastos!H45</f>
        <v>0</v>
      </c>
      <c r="H58" s="525">
        <f>+Gastos!I45</f>
        <v>0</v>
      </c>
      <c r="I58" s="525">
        <f>+Gastos!J45</f>
        <v>0</v>
      </c>
      <c r="J58" s="525">
        <f>+Gastos!K45</f>
        <v>0</v>
      </c>
      <c r="K58" s="525">
        <f>+Gastos!L45</f>
        <v>0</v>
      </c>
      <c r="L58" s="525">
        <f>+Gastos!M45</f>
        <v>0</v>
      </c>
      <c r="M58" s="525">
        <f>+Gastos!N45</f>
        <v>0</v>
      </c>
      <c r="N58" s="526">
        <f>+Gastos!O45</f>
        <v>0</v>
      </c>
      <c r="O58" s="523">
        <f t="shared" si="1"/>
        <v>0</v>
      </c>
    </row>
    <row r="59" spans="2:15" ht="15" x14ac:dyDescent="0.2">
      <c r="B59" s="542" t="str">
        <f>+Gastos!B46</f>
        <v>Parqueaderos</v>
      </c>
      <c r="C59" s="535">
        <f>+Gastos!D46</f>
        <v>0</v>
      </c>
      <c r="D59" s="525">
        <f>+Gastos!E46</f>
        <v>0</v>
      </c>
      <c r="E59" s="525">
        <f>+Gastos!F46</f>
        <v>0</v>
      </c>
      <c r="F59" s="525">
        <f>+Gastos!G46</f>
        <v>0</v>
      </c>
      <c r="G59" s="525">
        <f>+Gastos!H46</f>
        <v>0</v>
      </c>
      <c r="H59" s="525">
        <f>+Gastos!I46</f>
        <v>0</v>
      </c>
      <c r="I59" s="525">
        <f>+Gastos!J46</f>
        <v>0</v>
      </c>
      <c r="J59" s="525">
        <f>+Gastos!K46</f>
        <v>0</v>
      </c>
      <c r="K59" s="525">
        <f>+Gastos!L46</f>
        <v>0</v>
      </c>
      <c r="L59" s="525">
        <f>+Gastos!M46</f>
        <v>0</v>
      </c>
      <c r="M59" s="525">
        <f>+Gastos!N46</f>
        <v>0</v>
      </c>
      <c r="N59" s="526">
        <f>+Gastos!O46</f>
        <v>0</v>
      </c>
      <c r="O59" s="523">
        <f t="shared" si="1"/>
        <v>0</v>
      </c>
    </row>
    <row r="60" spans="2:15" ht="15.75" thickBot="1" x14ac:dyDescent="0.25">
      <c r="B60" s="542" t="s">
        <v>7</v>
      </c>
      <c r="C60" s="536">
        <f>+Supuestos!$E$30/12</f>
        <v>0</v>
      </c>
      <c r="D60" s="537">
        <f>+Supuestos!$E$30/12</f>
        <v>0</v>
      </c>
      <c r="E60" s="537">
        <f>+Supuestos!$E$30/12</f>
        <v>0</v>
      </c>
      <c r="F60" s="537">
        <f>+Supuestos!$E$30/12</f>
        <v>0</v>
      </c>
      <c r="G60" s="537">
        <f>+Supuestos!$E$30/12</f>
        <v>0</v>
      </c>
      <c r="H60" s="537">
        <f>+Supuestos!$E$30/12</f>
        <v>0</v>
      </c>
      <c r="I60" s="537">
        <f>+Supuestos!$E$30/12</f>
        <v>0</v>
      </c>
      <c r="J60" s="537">
        <f>+Supuestos!$E$30/12</f>
        <v>0</v>
      </c>
      <c r="K60" s="537">
        <f>+Supuestos!$E$30/12</f>
        <v>0</v>
      </c>
      <c r="L60" s="537">
        <f>+Supuestos!$E$30/12</f>
        <v>0</v>
      </c>
      <c r="M60" s="537">
        <f>+Supuestos!$E$30/12</f>
        <v>0</v>
      </c>
      <c r="N60" s="538">
        <f>+Supuestos!$E$30/12</f>
        <v>0</v>
      </c>
      <c r="O60" s="523">
        <f t="shared" si="1"/>
        <v>0</v>
      </c>
    </row>
    <row r="61" spans="2:15" ht="16.5" thickBot="1" x14ac:dyDescent="0.3">
      <c r="B61" s="529" t="s">
        <v>342</v>
      </c>
      <c r="C61" s="521">
        <f>+SUM(C25:C60)</f>
        <v>15742001</v>
      </c>
      <c r="D61" s="521">
        <f t="shared" ref="D61:N61" si="4">+SUM(D25:D60)</f>
        <v>15492001</v>
      </c>
      <c r="E61" s="521">
        <f t="shared" si="4"/>
        <v>15492001</v>
      </c>
      <c r="F61" s="521">
        <f t="shared" si="4"/>
        <v>15742001</v>
      </c>
      <c r="G61" s="521">
        <f t="shared" si="4"/>
        <v>8100001</v>
      </c>
      <c r="H61" s="521">
        <f t="shared" si="4"/>
        <v>8100001</v>
      </c>
      <c r="I61" s="521">
        <f t="shared" si="4"/>
        <v>8350001</v>
      </c>
      <c r="J61" s="521">
        <f t="shared" si="4"/>
        <v>8100001</v>
      </c>
      <c r="K61" s="521">
        <f t="shared" si="4"/>
        <v>8100001</v>
      </c>
      <c r="L61" s="521">
        <f t="shared" si="4"/>
        <v>8350001</v>
      </c>
      <c r="M61" s="521">
        <f t="shared" si="4"/>
        <v>8100001</v>
      </c>
      <c r="N61" s="522">
        <f t="shared" si="4"/>
        <v>15492001</v>
      </c>
      <c r="O61" s="523">
        <f t="shared" si="1"/>
        <v>135160012</v>
      </c>
    </row>
    <row r="62" spans="2:15" ht="15" x14ac:dyDescent="0.2">
      <c r="B62" s="524"/>
      <c r="C62" s="525"/>
      <c r="D62" s="525"/>
      <c r="E62" s="525"/>
      <c r="F62" s="525"/>
      <c r="G62" s="525"/>
      <c r="H62" s="525"/>
      <c r="I62" s="525"/>
      <c r="J62" s="525"/>
      <c r="K62" s="525"/>
      <c r="L62" s="525"/>
      <c r="M62" s="525"/>
      <c r="N62" s="526"/>
      <c r="O62" s="523">
        <f t="shared" si="1"/>
        <v>0</v>
      </c>
    </row>
    <row r="63" spans="2:15" ht="15" x14ac:dyDescent="0.2">
      <c r="B63" s="524" t="s">
        <v>366</v>
      </c>
      <c r="C63" s="525">
        <f>+Creditos!F42</f>
        <v>4014300.8566033337</v>
      </c>
      <c r="D63" s="525">
        <f>+Creditos!F43</f>
        <v>4014300.8566033337</v>
      </c>
      <c r="E63" s="525">
        <f>+Creditos!F44</f>
        <v>4014300.8566033337</v>
      </c>
      <c r="F63" s="525">
        <f>+Creditos!F45</f>
        <v>4014300.8566033337</v>
      </c>
      <c r="G63" s="525">
        <f>+Creditos!F46</f>
        <v>4014300.8566033337</v>
      </c>
      <c r="H63" s="525">
        <f>+Creditos!F47</f>
        <v>4014300.8566033337</v>
      </c>
      <c r="I63" s="525">
        <f>+Creditos!F48</f>
        <v>4014300.8566033337</v>
      </c>
      <c r="J63" s="525">
        <f>+Creditos!F49</f>
        <v>4014300.8566033337</v>
      </c>
      <c r="K63" s="525">
        <f>+Creditos!F50</f>
        <v>4014300.8566033337</v>
      </c>
      <c r="L63" s="525">
        <f>+Creditos!F51</f>
        <v>4014300.8566033337</v>
      </c>
      <c r="M63" s="525">
        <f>+Creditos!F52</f>
        <v>4014300.8566033337</v>
      </c>
      <c r="N63" s="526">
        <f>+Creditos!F53</f>
        <v>4014300.8566033337</v>
      </c>
      <c r="O63" s="523">
        <f t="shared" si="1"/>
        <v>48171610.27923999</v>
      </c>
    </row>
    <row r="64" spans="2:15" ht="15" x14ac:dyDescent="0.2">
      <c r="B64" s="543" t="s">
        <v>367</v>
      </c>
      <c r="C64" s="525">
        <f>+Creditos!D42</f>
        <v>3764660.9917789795</v>
      </c>
      <c r="D64" s="525">
        <f>+Creditos!D43</f>
        <v>3712374.0335598271</v>
      </c>
      <c r="E64" s="525">
        <f>+Creditos!D44</f>
        <v>3660087.0753406747</v>
      </c>
      <c r="F64" s="525">
        <f>+Creditos!D45</f>
        <v>3607800.1171215223</v>
      </c>
      <c r="G64" s="525">
        <f>+Creditos!D46</f>
        <v>3555513.1589023704</v>
      </c>
      <c r="H64" s="525">
        <f>+Creditos!D47</f>
        <v>3503226.200683218</v>
      </c>
      <c r="I64" s="525">
        <f>+Creditos!D48</f>
        <v>3450939.2424640656</v>
      </c>
      <c r="J64" s="525">
        <f>+Creditos!D49</f>
        <v>3398652.2842449131</v>
      </c>
      <c r="K64" s="525">
        <f>+Creditos!D50</f>
        <v>3346365.3260257607</v>
      </c>
      <c r="L64" s="525">
        <f>+Creditos!D51</f>
        <v>3294078.3678066083</v>
      </c>
      <c r="M64" s="525">
        <f>+Creditos!D52</f>
        <v>3241791.4095874559</v>
      </c>
      <c r="N64" s="526">
        <f>+Creditos!D53</f>
        <v>3189504.4513683035</v>
      </c>
      <c r="O64" s="523">
        <f t="shared" si="1"/>
        <v>41724992.658883698</v>
      </c>
    </row>
    <row r="65" spans="2:15" ht="15" x14ac:dyDescent="0.2">
      <c r="B65" s="543" t="s">
        <v>368</v>
      </c>
      <c r="C65" s="525"/>
      <c r="D65" s="525"/>
      <c r="E65" s="525"/>
      <c r="F65" s="525"/>
      <c r="G65" s="525"/>
      <c r="H65" s="525"/>
      <c r="I65" s="525"/>
      <c r="J65" s="525"/>
      <c r="K65" s="525"/>
      <c r="L65" s="525"/>
      <c r="M65" s="525"/>
      <c r="N65" s="526"/>
      <c r="O65" s="523">
        <f t="shared" si="1"/>
        <v>0</v>
      </c>
    </row>
    <row r="66" spans="2:15" ht="15" x14ac:dyDescent="0.2">
      <c r="B66" s="543" t="s">
        <v>126</v>
      </c>
      <c r="C66" s="525">
        <f>+C11*Supuestos!$E$39</f>
        <v>0</v>
      </c>
      <c r="D66" s="525">
        <f>+D11*Supuestos!$E$39</f>
        <v>0</v>
      </c>
      <c r="E66" s="525">
        <f>+E11*Supuestos!$E$39</f>
        <v>0</v>
      </c>
      <c r="F66" s="525">
        <f>+F11*Supuestos!$E$39</f>
        <v>0</v>
      </c>
      <c r="G66" s="525">
        <f>+G11*Supuestos!$E$39</f>
        <v>0</v>
      </c>
      <c r="H66" s="525">
        <f>+H11*Supuestos!$E$39</f>
        <v>0</v>
      </c>
      <c r="I66" s="525">
        <f>+I11*Supuestos!$E$39</f>
        <v>0</v>
      </c>
      <c r="J66" s="525">
        <f>+J11*Supuestos!$E$39</f>
        <v>0</v>
      </c>
      <c r="K66" s="525">
        <f>+K11*Supuestos!$E$39</f>
        <v>0</v>
      </c>
      <c r="L66" s="525">
        <f>+L11*Supuestos!$E$39</f>
        <v>0</v>
      </c>
      <c r="M66" s="525">
        <f>+M11*Supuestos!$E$39</f>
        <v>0</v>
      </c>
      <c r="N66" s="526">
        <f>+N11*Supuestos!$E$39</f>
        <v>0</v>
      </c>
      <c r="O66" s="523">
        <f t="shared" si="1"/>
        <v>0</v>
      </c>
    </row>
    <row r="67" spans="2:15" ht="15" x14ac:dyDescent="0.2">
      <c r="B67" s="543" t="s">
        <v>127</v>
      </c>
      <c r="C67" s="525">
        <f>+'BG_P&amp;G'!$C$33/12</f>
        <v>0</v>
      </c>
      <c r="D67" s="525">
        <f>+'BG_P&amp;G'!$C$33/12</f>
        <v>0</v>
      </c>
      <c r="E67" s="525">
        <f>+'BG_P&amp;G'!$C$33/12</f>
        <v>0</v>
      </c>
      <c r="F67" s="525">
        <f>+'BG_P&amp;G'!$C$33/12</f>
        <v>0</v>
      </c>
      <c r="G67" s="525">
        <f>+'BG_P&amp;G'!$C$33/12</f>
        <v>0</v>
      </c>
      <c r="H67" s="525">
        <f>+'BG_P&amp;G'!$C$33/12</f>
        <v>0</v>
      </c>
      <c r="I67" s="525">
        <f>+'BG_P&amp;G'!$C$33/12</f>
        <v>0</v>
      </c>
      <c r="J67" s="525">
        <f>+'BG_P&amp;G'!$C$33/12</f>
        <v>0</v>
      </c>
      <c r="K67" s="525">
        <f>+'BG_P&amp;G'!$C$33/12</f>
        <v>0</v>
      </c>
      <c r="L67" s="525">
        <f>+'BG_P&amp;G'!$C$33/12</f>
        <v>0</v>
      </c>
      <c r="M67" s="525">
        <f>+'BG_P&amp;G'!$C$33/12</f>
        <v>0</v>
      </c>
      <c r="N67" s="526">
        <f>+'BG_P&amp;G'!$C$33/12</f>
        <v>0</v>
      </c>
      <c r="O67" s="523">
        <f t="shared" si="1"/>
        <v>0</v>
      </c>
    </row>
    <row r="68" spans="2:15" ht="15" x14ac:dyDescent="0.2">
      <c r="B68" s="543" t="s">
        <v>424</v>
      </c>
      <c r="C68" s="525">
        <f>+'BG_P&amp;G'!C31</f>
        <v>0</v>
      </c>
      <c r="D68" s="525"/>
      <c r="E68" s="525"/>
      <c r="F68" s="525"/>
      <c r="G68" s="525"/>
      <c r="H68" s="525"/>
      <c r="I68" s="525"/>
      <c r="J68" s="525"/>
      <c r="K68" s="525"/>
      <c r="L68" s="525"/>
      <c r="M68" s="525"/>
      <c r="N68" s="526"/>
      <c r="O68" s="523"/>
    </row>
    <row r="69" spans="2:15" ht="15.75" thickBot="1" x14ac:dyDescent="0.25">
      <c r="B69" s="543"/>
      <c r="C69" s="525"/>
      <c r="D69" s="525"/>
      <c r="E69" s="525"/>
      <c r="F69" s="525"/>
      <c r="G69" s="525"/>
      <c r="H69" s="525"/>
      <c r="I69" s="525"/>
      <c r="J69" s="525"/>
      <c r="K69" s="525"/>
      <c r="L69" s="525"/>
      <c r="M69" s="525"/>
      <c r="N69" s="526"/>
      <c r="O69" s="523">
        <f t="shared" si="1"/>
        <v>0</v>
      </c>
    </row>
    <row r="70" spans="2:15" ht="16.5" thickBot="1" x14ac:dyDescent="0.3">
      <c r="B70" s="544" t="s">
        <v>339</v>
      </c>
      <c r="C70" s="521">
        <f>+SUM(C64:C68)</f>
        <v>3764660.9917789795</v>
      </c>
      <c r="D70" s="521">
        <f t="shared" ref="D70:N70" si="5">+SUM(D64:D68)</f>
        <v>3712374.0335598271</v>
      </c>
      <c r="E70" s="521">
        <f t="shared" si="5"/>
        <v>3660087.0753406747</v>
      </c>
      <c r="F70" s="521">
        <f t="shared" si="5"/>
        <v>3607800.1171215223</v>
      </c>
      <c r="G70" s="521">
        <f t="shared" si="5"/>
        <v>3555513.1589023704</v>
      </c>
      <c r="H70" s="521">
        <f t="shared" si="5"/>
        <v>3503226.200683218</v>
      </c>
      <c r="I70" s="521">
        <f t="shared" si="5"/>
        <v>3450939.2424640656</v>
      </c>
      <c r="J70" s="521">
        <f t="shared" si="5"/>
        <v>3398652.2842449131</v>
      </c>
      <c r="K70" s="521">
        <f t="shared" si="5"/>
        <v>3346365.3260257607</v>
      </c>
      <c r="L70" s="521">
        <f t="shared" si="5"/>
        <v>3294078.3678066083</v>
      </c>
      <c r="M70" s="521">
        <f t="shared" si="5"/>
        <v>3241791.4095874559</v>
      </c>
      <c r="N70" s="522">
        <f t="shared" si="5"/>
        <v>3189504.4513683035</v>
      </c>
      <c r="O70" s="523">
        <f t="shared" si="1"/>
        <v>41724992.658883698</v>
      </c>
    </row>
    <row r="71" spans="2:15" ht="15" x14ac:dyDescent="0.2">
      <c r="B71" s="545"/>
      <c r="C71" s="546"/>
      <c r="D71" s="547"/>
      <c r="E71" s="547"/>
      <c r="F71" s="547"/>
      <c r="G71" s="548"/>
      <c r="H71" s="548"/>
      <c r="I71" s="548"/>
      <c r="J71" s="548"/>
      <c r="K71" s="548"/>
      <c r="L71" s="548"/>
      <c r="M71" s="548"/>
      <c r="N71" s="549"/>
      <c r="O71" s="523">
        <f t="shared" si="1"/>
        <v>0</v>
      </c>
    </row>
    <row r="72" spans="2:15" ht="15" x14ac:dyDescent="0.2">
      <c r="B72" s="550" t="s">
        <v>269</v>
      </c>
      <c r="C72" s="535">
        <v>0</v>
      </c>
      <c r="D72" s="525">
        <v>0</v>
      </c>
      <c r="E72" s="525">
        <v>0</v>
      </c>
      <c r="F72" s="525">
        <v>0</v>
      </c>
      <c r="G72" s="525">
        <v>0</v>
      </c>
      <c r="H72" s="525">
        <v>0</v>
      </c>
      <c r="I72" s="525">
        <v>0</v>
      </c>
      <c r="J72" s="525">
        <v>0</v>
      </c>
      <c r="K72" s="525">
        <v>0</v>
      </c>
      <c r="L72" s="525">
        <v>0</v>
      </c>
      <c r="M72" s="525">
        <v>0</v>
      </c>
      <c r="N72" s="526">
        <v>0</v>
      </c>
      <c r="O72" s="523">
        <f t="shared" si="1"/>
        <v>0</v>
      </c>
    </row>
    <row r="73" spans="2:15" ht="15" x14ac:dyDescent="0.2">
      <c r="B73" s="550" t="s">
        <v>276</v>
      </c>
      <c r="C73" s="535">
        <v>0</v>
      </c>
      <c r="D73" s="525">
        <v>0</v>
      </c>
      <c r="E73" s="525">
        <v>0</v>
      </c>
      <c r="F73" s="525">
        <v>0</v>
      </c>
      <c r="G73" s="525">
        <v>0</v>
      </c>
      <c r="H73" s="525">
        <v>0</v>
      </c>
      <c r="I73" s="525">
        <v>0</v>
      </c>
      <c r="J73" s="525">
        <v>0</v>
      </c>
      <c r="K73" s="525">
        <v>0</v>
      </c>
      <c r="L73" s="525">
        <v>0</v>
      </c>
      <c r="M73" s="525">
        <v>0</v>
      </c>
      <c r="N73" s="526">
        <v>0</v>
      </c>
      <c r="O73" s="523">
        <f t="shared" si="1"/>
        <v>0</v>
      </c>
    </row>
    <row r="74" spans="2:15" ht="15" x14ac:dyDescent="0.2">
      <c r="B74" s="550" t="s">
        <v>275</v>
      </c>
      <c r="C74" s="535">
        <v>0</v>
      </c>
      <c r="D74" s="525">
        <v>0</v>
      </c>
      <c r="E74" s="525">
        <v>0</v>
      </c>
      <c r="F74" s="525">
        <v>0</v>
      </c>
      <c r="G74" s="525">
        <v>0</v>
      </c>
      <c r="H74" s="525">
        <v>0</v>
      </c>
      <c r="I74" s="525">
        <v>0</v>
      </c>
      <c r="J74" s="525">
        <v>0</v>
      </c>
      <c r="K74" s="525">
        <v>0</v>
      </c>
      <c r="L74" s="525">
        <v>0</v>
      </c>
      <c r="M74" s="525">
        <v>0</v>
      </c>
      <c r="N74" s="526">
        <v>0</v>
      </c>
      <c r="O74" s="523">
        <f t="shared" si="1"/>
        <v>0</v>
      </c>
    </row>
    <row r="75" spans="2:15" ht="15" x14ac:dyDescent="0.2">
      <c r="B75" s="550" t="s">
        <v>272</v>
      </c>
      <c r="C75" s="535">
        <v>0</v>
      </c>
      <c r="D75" s="525">
        <v>0</v>
      </c>
      <c r="E75" s="525">
        <v>0</v>
      </c>
      <c r="F75" s="525">
        <v>0</v>
      </c>
      <c r="G75" s="525">
        <v>0</v>
      </c>
      <c r="H75" s="525">
        <v>0</v>
      </c>
      <c r="I75" s="525">
        <v>0</v>
      </c>
      <c r="J75" s="525">
        <v>0</v>
      </c>
      <c r="K75" s="525">
        <v>0</v>
      </c>
      <c r="L75" s="525">
        <v>0</v>
      </c>
      <c r="M75" s="525">
        <v>0</v>
      </c>
      <c r="N75" s="526">
        <v>0</v>
      </c>
      <c r="O75" s="523">
        <f t="shared" si="1"/>
        <v>0</v>
      </c>
    </row>
    <row r="76" spans="2:15" ht="15" x14ac:dyDescent="0.2">
      <c r="B76" s="550" t="s">
        <v>274</v>
      </c>
      <c r="C76" s="535">
        <f>+(C11/Supuestos!$D$41)*Supuestos!$E$43</f>
        <v>0</v>
      </c>
      <c r="D76" s="525">
        <f>+(D11/Supuestos!$D$41)*Supuestos!$E$43</f>
        <v>0</v>
      </c>
      <c r="E76" s="525">
        <f>+(E11/Supuestos!$D$41)*Supuestos!$E$43</f>
        <v>0</v>
      </c>
      <c r="F76" s="525">
        <f>+(F11/Supuestos!$D$41)*Supuestos!$E$43</f>
        <v>0</v>
      </c>
      <c r="G76" s="525">
        <f>+(G11/Supuestos!$D$41)*Supuestos!$E$43</f>
        <v>0</v>
      </c>
      <c r="H76" s="525">
        <f>+(H11/Supuestos!$D$41)*Supuestos!$E$43</f>
        <v>0</v>
      </c>
      <c r="I76" s="525">
        <f>+(I11/Supuestos!$D$41)*Supuestos!$E$43</f>
        <v>0</v>
      </c>
      <c r="J76" s="525">
        <f>+(J11/Supuestos!$D$41)*Supuestos!$E$43</f>
        <v>0</v>
      </c>
      <c r="K76" s="525">
        <f>+(K11/Supuestos!$D$41)*Supuestos!$E$43</f>
        <v>0</v>
      </c>
      <c r="L76" s="525">
        <f>+(L11/Supuestos!$D$41)*Supuestos!$E$43</f>
        <v>0</v>
      </c>
      <c r="M76" s="525">
        <f>+(M11/Supuestos!$D$41)*Supuestos!$E$43</f>
        <v>0</v>
      </c>
      <c r="N76" s="526">
        <f>+(N11/Supuestos!$D$41)*Supuestos!$E$43</f>
        <v>0</v>
      </c>
      <c r="O76" s="523">
        <f>SUM(C76:N76)</f>
        <v>0</v>
      </c>
    </row>
    <row r="77" spans="2:15" ht="15.75" thickBot="1" x14ac:dyDescent="0.25">
      <c r="B77" s="551"/>
      <c r="C77" s="536"/>
      <c r="D77" s="537"/>
      <c r="E77" s="537"/>
      <c r="F77" s="537"/>
      <c r="G77" s="537"/>
      <c r="H77" s="537"/>
      <c r="I77" s="537"/>
      <c r="J77" s="537"/>
      <c r="K77" s="537"/>
      <c r="L77" s="537"/>
      <c r="M77" s="537"/>
      <c r="N77" s="538"/>
      <c r="O77" s="523">
        <f>SUM(C77:N77)</f>
        <v>0</v>
      </c>
    </row>
    <row r="78" spans="2:15" ht="16.5" thickBot="1" x14ac:dyDescent="0.3">
      <c r="B78" s="552" t="s">
        <v>340</v>
      </c>
      <c r="C78" s="553">
        <f>+C76+C70+C63+C61+C24</f>
        <v>117811811.73514231</v>
      </c>
      <c r="D78" s="553">
        <f t="shared" ref="D78:N78" si="6">+D76+D70+D63+D61+D24</f>
        <v>117509524.77692315</v>
      </c>
      <c r="E78" s="553">
        <f t="shared" si="6"/>
        <v>117457237.81870401</v>
      </c>
      <c r="F78" s="553">
        <f t="shared" si="6"/>
        <v>117654950.86048485</v>
      </c>
      <c r="G78" s="553">
        <f t="shared" si="6"/>
        <v>109960663.9022657</v>
      </c>
      <c r="H78" s="553">
        <f t="shared" si="6"/>
        <v>109908376.94404654</v>
      </c>
      <c r="I78" s="553">
        <f t="shared" si="6"/>
        <v>110106089.9858274</v>
      </c>
      <c r="J78" s="553">
        <f t="shared" si="6"/>
        <v>109803803.02760825</v>
      </c>
      <c r="K78" s="553">
        <f t="shared" si="6"/>
        <v>109751516.06938909</v>
      </c>
      <c r="L78" s="553">
        <f t="shared" si="6"/>
        <v>109949229.11116993</v>
      </c>
      <c r="M78" s="553">
        <f t="shared" si="6"/>
        <v>109646942.15295079</v>
      </c>
      <c r="N78" s="554">
        <f t="shared" si="6"/>
        <v>116986655.19473164</v>
      </c>
      <c r="O78" s="523">
        <f>SUM(C78:N78)</f>
        <v>1356546801.5792437</v>
      </c>
    </row>
    <row r="79" spans="2:15" ht="16.5" thickBot="1" x14ac:dyDescent="0.3">
      <c r="B79" s="552" t="s">
        <v>336</v>
      </c>
      <c r="C79" s="553">
        <f>+C15</f>
        <v>326896623.29943997</v>
      </c>
      <c r="D79" s="553">
        <f t="shared" ref="D79:N79" si="7">+D15</f>
        <v>125143461.62399997</v>
      </c>
      <c r="E79" s="553">
        <f t="shared" si="7"/>
        <v>125143461.62399997</v>
      </c>
      <c r="F79" s="553">
        <f t="shared" si="7"/>
        <v>125143461.62399997</v>
      </c>
      <c r="G79" s="553">
        <f t="shared" si="7"/>
        <v>125143461.62399997</v>
      </c>
      <c r="H79" s="553">
        <f t="shared" si="7"/>
        <v>125143461.62399997</v>
      </c>
      <c r="I79" s="553">
        <f t="shared" si="7"/>
        <v>125143461.62399997</v>
      </c>
      <c r="J79" s="553">
        <f t="shared" si="7"/>
        <v>125143461.62399997</v>
      </c>
      <c r="K79" s="553">
        <f t="shared" si="7"/>
        <v>125143461.62399997</v>
      </c>
      <c r="L79" s="553">
        <f t="shared" si="7"/>
        <v>125143461.62399997</v>
      </c>
      <c r="M79" s="553">
        <f t="shared" si="7"/>
        <v>125143461.62399997</v>
      </c>
      <c r="N79" s="554">
        <f t="shared" si="7"/>
        <v>125143461.62399997</v>
      </c>
      <c r="O79" s="523">
        <f>SUM(C79:N79)</f>
        <v>1703474701.1634402</v>
      </c>
    </row>
    <row r="80" spans="2:15" ht="16.5" thickBot="1" x14ac:dyDescent="0.3">
      <c r="B80" s="552" t="s">
        <v>270</v>
      </c>
      <c r="C80" s="521">
        <f>+C79-C78</f>
        <v>209084811.56429768</v>
      </c>
      <c r="D80" s="521">
        <f t="shared" ref="D80:N80" si="8">D10+D79-D78</f>
        <v>216718748.41137448</v>
      </c>
      <c r="E80" s="521">
        <f t="shared" si="8"/>
        <v>224404972.21667045</v>
      </c>
      <c r="F80" s="521">
        <f t="shared" si="8"/>
        <v>231893482.98018557</v>
      </c>
      <c r="G80" s="521">
        <f t="shared" si="8"/>
        <v>247076280.70191982</v>
      </c>
      <c r="H80" s="521">
        <f t="shared" si="8"/>
        <v>262311365.38187325</v>
      </c>
      <c r="I80" s="521">
        <f t="shared" si="8"/>
        <v>277348737.02004582</v>
      </c>
      <c r="J80" s="521">
        <f t="shared" si="8"/>
        <v>292688395.61643755</v>
      </c>
      <c r="K80" s="521">
        <f t="shared" si="8"/>
        <v>308080341.1710484</v>
      </c>
      <c r="L80" s="521">
        <f t="shared" si="8"/>
        <v>323274573.68387842</v>
      </c>
      <c r="M80" s="521">
        <f t="shared" si="8"/>
        <v>338771093.15492761</v>
      </c>
      <c r="N80" s="522">
        <f t="shared" si="8"/>
        <v>346927899.58419591</v>
      </c>
      <c r="O80" s="523">
        <f>SUM(C80:N80)</f>
        <v>3278580701.4868546</v>
      </c>
    </row>
    <row r="82" spans="1:9" ht="15" x14ac:dyDescent="0.2">
      <c r="A82" s="174"/>
      <c r="B82" s="166"/>
      <c r="C82" s="555"/>
      <c r="D82" s="555"/>
      <c r="E82" s="555"/>
      <c r="F82" s="555"/>
    </row>
    <row r="83" spans="1:9" ht="15.75" x14ac:dyDescent="0.25">
      <c r="A83" s="174"/>
      <c r="B83" s="166"/>
      <c r="C83" s="166"/>
      <c r="D83" s="556" t="s">
        <v>325</v>
      </c>
      <c r="E83" s="557" t="s">
        <v>326</v>
      </c>
      <c r="F83" s="557" t="s">
        <v>327</v>
      </c>
      <c r="G83" s="557" t="s">
        <v>328</v>
      </c>
      <c r="H83" s="557" t="s">
        <v>329</v>
      </c>
      <c r="I83" s="558" t="s">
        <v>393</v>
      </c>
    </row>
    <row r="84" spans="1:9" ht="15.75" x14ac:dyDescent="0.25">
      <c r="A84" s="174"/>
      <c r="B84" s="559" t="s">
        <v>256</v>
      </c>
      <c r="C84" s="560">
        <v>0</v>
      </c>
      <c r="D84" s="561">
        <f>+C84</f>
        <v>0</v>
      </c>
      <c r="E84" s="561">
        <f>+D104</f>
        <v>298263092.5829165</v>
      </c>
      <c r="F84" s="561">
        <f>+E104</f>
        <v>735931982.38802612</v>
      </c>
      <c r="G84" s="561">
        <f>+F104</f>
        <v>1080020944.3732665</v>
      </c>
      <c r="H84" s="561">
        <f>+G104</f>
        <v>1470388741.9230623</v>
      </c>
      <c r="I84" s="562">
        <f>+H104</f>
        <v>1913833971.2543638</v>
      </c>
    </row>
    <row r="85" spans="1:9" ht="15" x14ac:dyDescent="0.2">
      <c r="A85" s="174"/>
      <c r="B85" s="563"/>
      <c r="C85" s="564"/>
      <c r="D85" s="565"/>
      <c r="E85" s="565"/>
      <c r="F85" s="565"/>
      <c r="G85" s="565"/>
      <c r="H85" s="565"/>
      <c r="I85" s="566"/>
    </row>
    <row r="86" spans="1:9" ht="15" x14ac:dyDescent="0.2">
      <c r="A86" s="174"/>
      <c r="B86" s="567" t="s">
        <v>257</v>
      </c>
      <c r="C86" s="568"/>
      <c r="D86" s="569">
        <f>+Ingresos!C758</f>
        <v>1501721539.4880002</v>
      </c>
      <c r="E86" s="569">
        <f>+Ingresos!D758</f>
        <v>1613252725.94906</v>
      </c>
      <c r="F86" s="569">
        <f>+Ingresos!E758</f>
        <v>1738102599.639127</v>
      </c>
      <c r="G86" s="569">
        <f>+Ingresos!F758</f>
        <v>1883474925.2466183</v>
      </c>
      <c r="H86" s="569">
        <f>+Ingresos!G758</f>
        <v>2052752672.0482793</v>
      </c>
      <c r="I86" s="570">
        <f>+Ingresos!H758</f>
        <v>2250052766.5631919</v>
      </c>
    </row>
    <row r="87" spans="1:9" ht="15" x14ac:dyDescent="0.2">
      <c r="A87" s="174" t="s">
        <v>258</v>
      </c>
      <c r="B87" s="567" t="s">
        <v>271</v>
      </c>
      <c r="C87" s="568"/>
      <c r="D87" s="569">
        <f>-'BG_P&amp;G'!D58</f>
        <v>0</v>
      </c>
      <c r="E87" s="569">
        <f>-'BG_P&amp;G'!E58</f>
        <v>0</v>
      </c>
      <c r="F87" s="569">
        <f>-'BG_P&amp;G'!F58</f>
        <v>0</v>
      </c>
      <c r="G87" s="569">
        <f>-'BG_P&amp;G'!G58</f>
        <v>0</v>
      </c>
      <c r="H87" s="569">
        <f>-'BG_P&amp;G'!H58</f>
        <v>0</v>
      </c>
      <c r="I87" s="570">
        <f>-'BG_P&amp;G'!I58</f>
        <v>0</v>
      </c>
    </row>
    <row r="88" spans="1:9" ht="15" x14ac:dyDescent="0.2">
      <c r="A88" s="174" t="s">
        <v>259</v>
      </c>
      <c r="B88" s="567" t="s">
        <v>260</v>
      </c>
      <c r="C88" s="568"/>
      <c r="D88" s="569">
        <f>+'BG_P&amp;G'!C58</f>
        <v>0</v>
      </c>
      <c r="E88" s="569">
        <f>+'BG_P&amp;G'!D58</f>
        <v>0</v>
      </c>
      <c r="F88" s="569">
        <f>+'BG_P&amp;G'!E58</f>
        <v>0</v>
      </c>
      <c r="G88" s="569">
        <f>+'BG_P&amp;G'!F58</f>
        <v>0</v>
      </c>
      <c r="H88" s="569">
        <f>+'BG_P&amp;G'!G58</f>
        <v>0</v>
      </c>
      <c r="I88" s="570">
        <f>+'BG_P&amp;G'!H58</f>
        <v>0</v>
      </c>
    </row>
    <row r="89" spans="1:9" ht="15" x14ac:dyDescent="0.2">
      <c r="A89" s="174" t="s">
        <v>258</v>
      </c>
      <c r="B89" s="567" t="s">
        <v>261</v>
      </c>
      <c r="C89" s="568"/>
      <c r="D89" s="569">
        <f>-Costos!D399</f>
        <v>-1053324916.668</v>
      </c>
      <c r="E89" s="569">
        <f>-Costos!E399</f>
        <v>-851595614.28269804</v>
      </c>
      <c r="F89" s="569">
        <f>-Costos!F399</f>
        <v>-913846864.35312009</v>
      </c>
      <c r="G89" s="569">
        <f>-Costos!G399</f>
        <v>-986406104.67220771</v>
      </c>
      <c r="H89" s="569">
        <f>-Costos!H399</f>
        <v>-1070922095.8977382</v>
      </c>
      <c r="I89" s="570">
        <f>-Costos!I399</f>
        <v>-1170132336.0123541</v>
      </c>
    </row>
    <row r="90" spans="1:9" ht="15" x14ac:dyDescent="0.2">
      <c r="A90" s="174" t="s">
        <v>258</v>
      </c>
      <c r="B90" s="567" t="s">
        <v>262</v>
      </c>
      <c r="C90" s="568"/>
      <c r="D90" s="569">
        <f>-Gastos!D52</f>
        <v>-125508808</v>
      </c>
      <c r="E90" s="569">
        <f>-Gastos!E52</f>
        <v>-128849198.68800001</v>
      </c>
      <c r="F90" s="569">
        <f>-Gastos!F52</f>
        <v>-133967645.09049599</v>
      </c>
      <c r="G90" s="569">
        <f>-Gastos!G52</f>
        <v>-140094316.19451341</v>
      </c>
      <c r="H90" s="569">
        <f>-Gastos!H52</f>
        <v>-147342874.82255703</v>
      </c>
      <c r="I90" s="570">
        <f>-Gastos!I52</f>
        <v>-155851719.21202028</v>
      </c>
    </row>
    <row r="91" spans="1:9" ht="15" x14ac:dyDescent="0.2">
      <c r="A91" s="174" t="s">
        <v>258</v>
      </c>
      <c r="B91" s="567" t="s">
        <v>263</v>
      </c>
      <c r="C91" s="568"/>
      <c r="D91" s="569">
        <f>-Gastos!D133</f>
        <v>-136481280.97440001</v>
      </c>
      <c r="E91" s="569">
        <f>-Gastos!E133</f>
        <v>-63481245.744000003</v>
      </c>
      <c r="F91" s="569">
        <f>-Gastos!F133</f>
        <v>-65890890.615648009</v>
      </c>
      <c r="G91" s="569">
        <f>-Gastos!G133</f>
        <v>-68787849.487413496</v>
      </c>
      <c r="H91" s="569">
        <f>-Gastos!H133</f>
        <v>-72225425.719081238</v>
      </c>
      <c r="I91" s="570">
        <f>-Gastos!I133</f>
        <v>-76268689.174822211</v>
      </c>
    </row>
    <row r="92" spans="1:9" ht="15" x14ac:dyDescent="0.2">
      <c r="A92" s="174" t="s">
        <v>258</v>
      </c>
      <c r="B92" s="567" t="s">
        <v>264</v>
      </c>
      <c r="C92" s="568"/>
      <c r="D92" s="569">
        <f>-SUM(Creditos!$F42:$F53)</f>
        <v>-48171610.27923999</v>
      </c>
      <c r="E92" s="569">
        <f>-SUM(Creditos!F54:F65)</f>
        <v>-48171610.27923999</v>
      </c>
      <c r="F92" s="569">
        <f>-SUM(Creditos!F66:F77)</f>
        <v>-48171610.27923999</v>
      </c>
      <c r="G92" s="569">
        <f>-SUM(Creditos!F78:F89)</f>
        <v>-48171610.27923999</v>
      </c>
      <c r="H92" s="569">
        <f>-SUM(Creditos!F90:F101)</f>
        <v>-48171610.27923999</v>
      </c>
      <c r="I92" s="570">
        <f>-SUM(Creditos!F102:F113)</f>
        <v>-48171610.27923999</v>
      </c>
    </row>
    <row r="93" spans="1:9" ht="15" x14ac:dyDescent="0.2">
      <c r="A93" s="174" t="s">
        <v>265</v>
      </c>
      <c r="B93" s="567" t="s">
        <v>266</v>
      </c>
      <c r="C93" s="568"/>
      <c r="D93" s="569">
        <f>-'BG_P&amp;G'!C29</f>
        <v>-41724992.658883698</v>
      </c>
      <c r="E93" s="569">
        <f>-'BG_P&amp;G'!D29</f>
        <v>-34195670.675325759</v>
      </c>
      <c r="F93" s="569">
        <f>-'BG_P&amp;G'!E29</f>
        <v>-26666348.691767816</v>
      </c>
      <c r="G93" s="569">
        <f>-'BG_P&amp;G'!F29</f>
        <v>-19137026.708209865</v>
      </c>
      <c r="H93" s="569">
        <f>-'BG_P&amp;G'!G29</f>
        <v>-11607704.724651895</v>
      </c>
      <c r="I93" s="570">
        <f>-'BG_P&amp;G'!H29</f>
        <v>0</v>
      </c>
    </row>
    <row r="94" spans="1:9" ht="15" x14ac:dyDescent="0.2">
      <c r="A94" s="174" t="s">
        <v>265</v>
      </c>
      <c r="B94" s="567" t="s">
        <v>267</v>
      </c>
      <c r="C94" s="568"/>
      <c r="D94" s="569">
        <f>-'BG_P&amp;G'!C79</f>
        <v>0</v>
      </c>
      <c r="E94" s="569">
        <f>-'BG_P&amp;G'!D79</f>
        <v>-49290496.474686593</v>
      </c>
      <c r="F94" s="569">
        <f>-'BG_P&amp;G'!E79</f>
        <v>-205470278.62361452</v>
      </c>
      <c r="G94" s="569">
        <f>-'BG_P&amp;G'!F79</f>
        <v>-230510220.35523808</v>
      </c>
      <c r="H94" s="569">
        <f>-'BG_P&amp;G'!G79</f>
        <v>-259037731.27370951</v>
      </c>
      <c r="I94" s="570">
        <f>-'BG_P&amp;G'!H79</f>
        <v>-291679708.35370034</v>
      </c>
    </row>
    <row r="95" spans="1:9" ht="15" x14ac:dyDescent="0.2">
      <c r="A95" s="174" t="s">
        <v>259</v>
      </c>
      <c r="B95" s="567" t="s">
        <v>268</v>
      </c>
      <c r="C95" s="568"/>
      <c r="D95" s="569">
        <f>+'BG_P&amp;G'!D78</f>
        <v>0</v>
      </c>
      <c r="E95" s="569">
        <f>+'BG_P&amp;G'!E78</f>
        <v>0</v>
      </c>
      <c r="F95" s="569">
        <f>+'BG_P&amp;G'!F78</f>
        <v>0</v>
      </c>
      <c r="G95" s="569">
        <f>+'BG_P&amp;G'!G78</f>
        <v>0</v>
      </c>
      <c r="H95" s="569">
        <f>+'BG_P&amp;G'!H78</f>
        <v>0</v>
      </c>
      <c r="I95" s="570">
        <f>+'BG_P&amp;G'!I78</f>
        <v>0</v>
      </c>
    </row>
    <row r="96" spans="1:9" ht="15" x14ac:dyDescent="0.2">
      <c r="A96" s="174" t="s">
        <v>258</v>
      </c>
      <c r="B96" s="567" t="s">
        <v>269</v>
      </c>
      <c r="C96" s="568"/>
      <c r="D96" s="569">
        <v>0</v>
      </c>
      <c r="E96" s="569">
        <f>-D95</f>
        <v>0</v>
      </c>
      <c r="F96" s="569">
        <f>-E95</f>
        <v>0</v>
      </c>
      <c r="G96" s="569">
        <f>-F95</f>
        <v>0</v>
      </c>
      <c r="H96" s="569">
        <f>-G95</f>
        <v>0</v>
      </c>
      <c r="I96" s="570">
        <f>-H95</f>
        <v>0</v>
      </c>
    </row>
    <row r="97" spans="1:9" ht="15" x14ac:dyDescent="0.2">
      <c r="A97" s="174" t="s">
        <v>259</v>
      </c>
      <c r="B97" s="567" t="s">
        <v>276</v>
      </c>
      <c r="C97" s="568"/>
      <c r="D97" s="569">
        <v>0</v>
      </c>
      <c r="E97" s="569">
        <f>+'BG_P&amp;G'!C24</f>
        <v>0</v>
      </c>
      <c r="F97" s="569">
        <f>+'BG_P&amp;G'!D24</f>
        <v>0</v>
      </c>
      <c r="G97" s="569">
        <f>+'BG_P&amp;G'!E24</f>
        <v>0</v>
      </c>
      <c r="H97" s="569">
        <f>+'BG_P&amp;G'!F24</f>
        <v>0</v>
      </c>
      <c r="I97" s="570">
        <f>+'BG_P&amp;G'!G24</f>
        <v>0</v>
      </c>
    </row>
    <row r="98" spans="1:9" ht="15" x14ac:dyDescent="0.2">
      <c r="A98" s="174" t="s">
        <v>258</v>
      </c>
      <c r="B98" s="567" t="s">
        <v>275</v>
      </c>
      <c r="C98" s="568"/>
      <c r="D98" s="569">
        <v>0</v>
      </c>
      <c r="E98" s="569">
        <f>-'BG_P&amp;G'!C25</f>
        <v>0</v>
      </c>
      <c r="F98" s="569">
        <f>-'BG_P&amp;G'!D25</f>
        <v>0</v>
      </c>
      <c r="G98" s="569">
        <f>-'BG_P&amp;G'!E25</f>
        <v>0</v>
      </c>
      <c r="H98" s="569">
        <f>-'BG_P&amp;G'!F25</f>
        <v>0</v>
      </c>
      <c r="I98" s="570">
        <f>-'BG_P&amp;G'!G25</f>
        <v>0</v>
      </c>
    </row>
    <row r="99" spans="1:9" ht="15" x14ac:dyDescent="0.2">
      <c r="A99" s="174" t="s">
        <v>258</v>
      </c>
      <c r="B99" s="567" t="s">
        <v>272</v>
      </c>
      <c r="C99" s="568"/>
      <c r="D99" s="569">
        <v>0</v>
      </c>
      <c r="E99" s="569">
        <f>-Inversion!F173</f>
        <v>0</v>
      </c>
      <c r="F99" s="569">
        <f>-Inversion!G173</f>
        <v>0</v>
      </c>
      <c r="G99" s="569">
        <f>-Inversion!H173</f>
        <v>0</v>
      </c>
      <c r="H99" s="569">
        <f>-Inversion!I173</f>
        <v>0</v>
      </c>
      <c r="I99" s="570">
        <f>-Inversion!J173</f>
        <v>0</v>
      </c>
    </row>
    <row r="100" spans="1:9" ht="15" x14ac:dyDescent="0.2">
      <c r="A100" s="174" t="s">
        <v>259</v>
      </c>
      <c r="B100" s="567" t="s">
        <v>273</v>
      </c>
      <c r="C100" s="568"/>
      <c r="D100" s="569">
        <f>+'BG_P&amp;G'!C56</f>
        <v>201753161.67544001</v>
      </c>
      <c r="E100" s="569">
        <f>+'BG_P&amp;G'!D55</f>
        <v>0</v>
      </c>
      <c r="F100" s="569">
        <f>+'BG_P&amp;G'!E55</f>
        <v>0</v>
      </c>
      <c r="G100" s="569">
        <f>+'BG_P&amp;G'!F55</f>
        <v>0</v>
      </c>
      <c r="H100" s="569">
        <f>+'BG_P&amp;G'!G55</f>
        <v>0</v>
      </c>
      <c r="I100" s="570">
        <f>+'BG_P&amp;G'!H55</f>
        <v>0</v>
      </c>
    </row>
    <row r="101" spans="1:9" ht="15" x14ac:dyDescent="0.2">
      <c r="A101" s="174" t="s">
        <v>258</v>
      </c>
      <c r="B101" s="567" t="s">
        <v>274</v>
      </c>
      <c r="C101" s="568"/>
      <c r="D101" s="569">
        <f>-'BG_P&amp;G'!D55</f>
        <v>0</v>
      </c>
      <c r="E101" s="569">
        <f>-'BG_P&amp;G'!E55</f>
        <v>0</v>
      </c>
      <c r="F101" s="569">
        <f>-'BG_P&amp;G'!F55</f>
        <v>0</v>
      </c>
      <c r="G101" s="569">
        <f>-'BG_P&amp;G'!G55</f>
        <v>0</v>
      </c>
      <c r="H101" s="569">
        <f>-'BG_P&amp;G'!H55</f>
        <v>0</v>
      </c>
      <c r="I101" s="570">
        <f>-'BG_P&amp;G'!I55</f>
        <v>0</v>
      </c>
    </row>
    <row r="102" spans="1:9" ht="15" x14ac:dyDescent="0.2">
      <c r="A102" s="174" t="s">
        <v>259</v>
      </c>
      <c r="B102" s="567" t="s">
        <v>277</v>
      </c>
      <c r="C102" s="568"/>
      <c r="D102" s="569"/>
      <c r="E102" s="569"/>
      <c r="F102" s="569"/>
      <c r="G102" s="569"/>
      <c r="H102" s="569"/>
      <c r="I102" s="570"/>
    </row>
    <row r="103" spans="1:9" ht="15" x14ac:dyDescent="0.2">
      <c r="A103" s="174"/>
      <c r="B103" s="571"/>
      <c r="C103" s="572"/>
      <c r="D103" s="573"/>
      <c r="E103" s="573"/>
      <c r="F103" s="573"/>
      <c r="G103" s="573"/>
      <c r="H103" s="573"/>
      <c r="I103" s="574"/>
    </row>
    <row r="104" spans="1:9" ht="15.75" x14ac:dyDescent="0.25">
      <c r="A104" s="174"/>
      <c r="B104" s="575" t="s">
        <v>270</v>
      </c>
      <c r="C104" s="576"/>
      <c r="D104" s="577">
        <f t="shared" ref="D104:I104" si="9">SUM(D84:D103)</f>
        <v>298263092.5829165</v>
      </c>
      <c r="E104" s="577">
        <f t="shared" si="9"/>
        <v>735931982.38802612</v>
      </c>
      <c r="F104" s="577">
        <f t="shared" si="9"/>
        <v>1080020944.3732665</v>
      </c>
      <c r="G104" s="577">
        <f t="shared" si="9"/>
        <v>1470388741.9230623</v>
      </c>
      <c r="H104" s="577">
        <f t="shared" si="9"/>
        <v>1913833971.2543638</v>
      </c>
      <c r="I104" s="577">
        <f t="shared" si="9"/>
        <v>2421782674.7854185</v>
      </c>
    </row>
  </sheetData>
  <phoneticPr fontId="0" type="noConversion"/>
  <pageMargins left="0.75" right="0.75" top="1" bottom="1"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B1:P124"/>
  <sheetViews>
    <sheetView showGridLines="0" topLeftCell="A80" zoomScale="74" zoomScaleNormal="90" workbookViewId="0">
      <selection activeCell="B99" sqref="B99:H114"/>
    </sheetView>
  </sheetViews>
  <sheetFormatPr baseColWidth="10" defaultColWidth="31.28515625" defaultRowHeight="12.75" x14ac:dyDescent="0.2"/>
  <cols>
    <col min="1" max="1" width="3.7109375" style="6" customWidth="1"/>
    <col min="2" max="2" width="49.28515625" style="114" bestFit="1" customWidth="1"/>
    <col min="3" max="3" width="20.7109375" style="71" bestFit="1" customWidth="1"/>
    <col min="4" max="4" width="20.28515625" style="71" customWidth="1"/>
    <col min="5" max="5" width="21.42578125" style="71" customWidth="1"/>
    <col min="6" max="6" width="20.85546875" style="71" customWidth="1"/>
    <col min="7" max="7" width="20.42578125" style="71" customWidth="1"/>
    <col min="8" max="8" width="20.140625" style="71" customWidth="1"/>
    <col min="9" max="9" width="20.42578125" style="47" customWidth="1"/>
    <col min="10" max="10" width="40.7109375" style="47" bestFit="1" customWidth="1"/>
    <col min="11" max="11" width="13.5703125" style="47" customWidth="1"/>
    <col min="12" max="12" width="15.42578125" style="47" customWidth="1"/>
    <col min="13" max="13" width="15.7109375" style="47" customWidth="1"/>
    <col min="14" max="14" width="16" style="47" customWidth="1"/>
    <col min="15" max="15" width="16.7109375" style="47" customWidth="1"/>
    <col min="16" max="16" width="16.28515625" style="47" customWidth="1"/>
    <col min="17" max="16384" width="31.28515625" style="6"/>
  </cols>
  <sheetData>
    <row r="1" spans="2:16" x14ac:dyDescent="0.2">
      <c r="C1" s="23"/>
      <c r="E1" s="23"/>
      <c r="G1" s="23"/>
    </row>
    <row r="2" spans="2:16" x14ac:dyDescent="0.2">
      <c r="G2" s="28"/>
    </row>
    <row r="7" spans="2:16" x14ac:dyDescent="0.2">
      <c r="B7" s="424"/>
    </row>
    <row r="8" spans="2:16" ht="15.75" x14ac:dyDescent="0.25">
      <c r="B8" s="816" t="str">
        <f>Supuestos!B8</f>
        <v>Centro de acopio la Bonanza Campesina</v>
      </c>
      <c r="C8" s="817"/>
      <c r="D8" s="817"/>
      <c r="E8" s="817"/>
      <c r="F8" s="817"/>
      <c r="G8" s="817"/>
      <c r="H8" s="817"/>
      <c r="J8" s="818" t="str">
        <f>B8</f>
        <v>Centro de acopio la Bonanza Campesina</v>
      </c>
      <c r="K8" s="819"/>
      <c r="L8" s="819"/>
      <c r="M8" s="819"/>
      <c r="N8" s="819"/>
      <c r="O8" s="819"/>
      <c r="P8" s="819"/>
    </row>
    <row r="9" spans="2:16" ht="15.75" x14ac:dyDescent="0.25">
      <c r="B9" s="816" t="s">
        <v>150</v>
      </c>
      <c r="C9" s="817"/>
      <c r="D9" s="817"/>
      <c r="E9" s="817"/>
      <c r="F9" s="817"/>
      <c r="G9" s="817"/>
      <c r="H9" s="817"/>
      <c r="J9" s="818" t="s">
        <v>96</v>
      </c>
      <c r="K9" s="819"/>
      <c r="L9" s="819"/>
      <c r="M9" s="819"/>
      <c r="N9" s="819"/>
      <c r="O9" s="819"/>
      <c r="P9" s="819"/>
    </row>
    <row r="10" spans="2:16" ht="15.75" x14ac:dyDescent="0.25">
      <c r="B10" s="632"/>
      <c r="C10" s="632"/>
      <c r="D10" s="632"/>
      <c r="E10" s="633"/>
      <c r="F10" s="633"/>
      <c r="G10" s="633"/>
      <c r="J10" s="634"/>
      <c r="K10" s="634"/>
      <c r="L10" s="635"/>
      <c r="M10" s="636"/>
      <c r="N10" s="637"/>
      <c r="O10" s="635"/>
    </row>
    <row r="11" spans="2:16" s="5" customFormat="1" ht="15.75" x14ac:dyDescent="0.25">
      <c r="B11" s="582" t="s">
        <v>17</v>
      </c>
      <c r="C11" s="583" t="s">
        <v>325</v>
      </c>
      <c r="D11" s="583" t="s">
        <v>326</v>
      </c>
      <c r="E11" s="583" t="s">
        <v>327</v>
      </c>
      <c r="F11" s="583" t="s">
        <v>328</v>
      </c>
      <c r="G11" s="583" t="s">
        <v>329</v>
      </c>
      <c r="H11" s="583" t="s">
        <v>393</v>
      </c>
      <c r="I11" s="45"/>
      <c r="J11" s="638" t="s">
        <v>17</v>
      </c>
      <c r="K11" s="639" t="s">
        <v>325</v>
      </c>
      <c r="L11" s="639" t="s">
        <v>326</v>
      </c>
      <c r="M11" s="639" t="s">
        <v>327</v>
      </c>
      <c r="N11" s="639" t="s">
        <v>328</v>
      </c>
      <c r="O11" s="639" t="s">
        <v>329</v>
      </c>
      <c r="P11" s="639" t="s">
        <v>393</v>
      </c>
    </row>
    <row r="12" spans="2:16" s="5" customFormat="1" ht="15.75" x14ac:dyDescent="0.25">
      <c r="B12" s="585"/>
      <c r="C12" s="640"/>
      <c r="D12" s="640"/>
      <c r="E12" s="640"/>
      <c r="F12" s="640"/>
      <c r="G12" s="640"/>
      <c r="H12" s="640"/>
      <c r="I12" s="45"/>
      <c r="J12" s="585"/>
      <c r="K12" s="641"/>
      <c r="L12" s="641"/>
      <c r="M12" s="641"/>
      <c r="N12" s="641"/>
      <c r="O12" s="641"/>
      <c r="P12" s="641"/>
    </row>
    <row r="13" spans="2:16" s="5" customFormat="1" ht="15.75" x14ac:dyDescent="0.25">
      <c r="B13" s="582" t="s">
        <v>11</v>
      </c>
      <c r="C13" s="642">
        <f>Ingresos!C758</f>
        <v>1501721539.4880002</v>
      </c>
      <c r="D13" s="642">
        <f>Ingresos!D758</f>
        <v>1613252725.94906</v>
      </c>
      <c r="E13" s="642">
        <f>Ingresos!E758</f>
        <v>1738102599.639127</v>
      </c>
      <c r="F13" s="642">
        <f>Ingresos!F758</f>
        <v>1883474925.2466183</v>
      </c>
      <c r="G13" s="642">
        <f>Ingresos!G758</f>
        <v>2052752672.0482793</v>
      </c>
      <c r="H13" s="642">
        <f>Ingresos!H758</f>
        <v>2250052766.5631919</v>
      </c>
      <c r="I13" s="643"/>
      <c r="J13" s="638" t="s">
        <v>11</v>
      </c>
      <c r="K13" s="644">
        <f>+IF(C13=0,0,(C13/C$13))</f>
        <v>1</v>
      </c>
      <c r="L13" s="644">
        <f t="shared" ref="L13:P28" si="0">+IF(D13=0,0,(D13/D$13))</f>
        <v>1</v>
      </c>
      <c r="M13" s="644">
        <f t="shared" si="0"/>
        <v>1</v>
      </c>
      <c r="N13" s="644">
        <f t="shared" si="0"/>
        <v>1</v>
      </c>
      <c r="O13" s="644">
        <f t="shared" si="0"/>
        <v>1</v>
      </c>
      <c r="P13" s="644">
        <f t="shared" si="0"/>
        <v>1</v>
      </c>
    </row>
    <row r="14" spans="2:16" s="5" customFormat="1" ht="15.75" x14ac:dyDescent="0.25">
      <c r="B14" s="588" t="s">
        <v>97</v>
      </c>
      <c r="C14" s="645">
        <f>Costos!D399+C59-D59</f>
        <v>1053324916.668</v>
      </c>
      <c r="D14" s="645">
        <f>Costos!E399+D59-E59</f>
        <v>851595614.28269804</v>
      </c>
      <c r="E14" s="645">
        <f>Costos!F399+E59-F59</f>
        <v>913846864.35312009</v>
      </c>
      <c r="F14" s="645">
        <f>Costos!G399+F59-G59</f>
        <v>986406104.67220771</v>
      </c>
      <c r="G14" s="645">
        <f>Costos!H399+G59-H59</f>
        <v>1070922095.8977382</v>
      </c>
      <c r="H14" s="645">
        <f>Costos!I399+H59-I59</f>
        <v>1170132336.0123541</v>
      </c>
      <c r="I14" s="45"/>
      <c r="J14" s="585" t="s">
        <v>97</v>
      </c>
      <c r="K14" s="646">
        <f t="shared" ref="K14:K32" si="1">+IF(C14=0,0,(C14/C$13))</f>
        <v>0.70141160592736962</v>
      </c>
      <c r="L14" s="646">
        <f t="shared" si="0"/>
        <v>0.52787489559747258</v>
      </c>
      <c r="M14" s="646">
        <f t="shared" si="0"/>
        <v>0.52577268139571121</v>
      </c>
      <c r="N14" s="646">
        <f t="shared" si="0"/>
        <v>0.52371608002323145</v>
      </c>
      <c r="O14" s="646">
        <f t="shared" si="0"/>
        <v>0.52170050025030534</v>
      </c>
      <c r="P14" s="646">
        <f t="shared" si="0"/>
        <v>0.52004661997311941</v>
      </c>
    </row>
    <row r="15" spans="2:16" s="5" customFormat="1" ht="15.75" x14ac:dyDescent="0.25">
      <c r="B15" s="582" t="s">
        <v>12</v>
      </c>
      <c r="C15" s="642">
        <f t="shared" ref="C15:H15" si="2">C13-C14</f>
        <v>448396622.82000017</v>
      </c>
      <c r="D15" s="642">
        <f t="shared" si="2"/>
        <v>761657111.66636193</v>
      </c>
      <c r="E15" s="642">
        <f t="shared" si="2"/>
        <v>824255735.28600693</v>
      </c>
      <c r="F15" s="642">
        <f t="shared" si="2"/>
        <v>897068820.57441056</v>
      </c>
      <c r="G15" s="642">
        <f t="shared" si="2"/>
        <v>981830576.15054107</v>
      </c>
      <c r="H15" s="642">
        <f t="shared" si="2"/>
        <v>1079920430.5508378</v>
      </c>
      <c r="I15" s="45"/>
      <c r="J15" s="638" t="s">
        <v>12</v>
      </c>
      <c r="K15" s="644">
        <f t="shared" si="1"/>
        <v>0.29858839407263038</v>
      </c>
      <c r="L15" s="644">
        <f t="shared" si="0"/>
        <v>0.47212510440252742</v>
      </c>
      <c r="M15" s="644">
        <f t="shared" si="0"/>
        <v>0.47422731860428879</v>
      </c>
      <c r="N15" s="644">
        <f t="shared" si="0"/>
        <v>0.47628391997676861</v>
      </c>
      <c r="O15" s="644">
        <f t="shared" si="0"/>
        <v>0.47829949974969471</v>
      </c>
      <c r="P15" s="644">
        <f t="shared" si="0"/>
        <v>0.47995338002688065</v>
      </c>
    </row>
    <row r="16" spans="2:16" ht="15.75" x14ac:dyDescent="0.25">
      <c r="B16" s="588" t="s">
        <v>118</v>
      </c>
      <c r="C16" s="645">
        <f>Gastos!D52</f>
        <v>125508808</v>
      </c>
      <c r="D16" s="645">
        <f>Gastos!E52</f>
        <v>128849198.68800001</v>
      </c>
      <c r="E16" s="645">
        <f>Gastos!F52</f>
        <v>133967645.09049599</v>
      </c>
      <c r="F16" s="645">
        <f>Gastos!G52</f>
        <v>140094316.19451341</v>
      </c>
      <c r="G16" s="645">
        <f>Gastos!H52</f>
        <v>147342874.82255703</v>
      </c>
      <c r="H16" s="645">
        <f>Gastos!I52</f>
        <v>155851719.21202028</v>
      </c>
      <c r="J16" s="585" t="s">
        <v>118</v>
      </c>
      <c r="K16" s="646">
        <f t="shared" si="1"/>
        <v>8.3576618367471253E-2</v>
      </c>
      <c r="L16" s="646">
        <f t="shared" si="0"/>
        <v>7.9869196323346894E-2</v>
      </c>
      <c r="M16" s="646">
        <f t="shared" si="0"/>
        <v>7.7076948805157405E-2</v>
      </c>
      <c r="N16" s="646">
        <f t="shared" si="0"/>
        <v>7.4380770519771988E-2</v>
      </c>
      <c r="O16" s="646">
        <f t="shared" si="0"/>
        <v>7.1778191707593905E-2</v>
      </c>
      <c r="P16" s="646">
        <f t="shared" si="0"/>
        <v>6.9265806352654377E-2</v>
      </c>
    </row>
    <row r="17" spans="2:16" ht="15.75" x14ac:dyDescent="0.25">
      <c r="B17" s="588" t="s">
        <v>119</v>
      </c>
      <c r="C17" s="645">
        <f>Gastos!D133</f>
        <v>136481280.97440001</v>
      </c>
      <c r="D17" s="645">
        <f>Gastos!E133</f>
        <v>63481245.744000003</v>
      </c>
      <c r="E17" s="645">
        <f>Gastos!F133</f>
        <v>65890890.615648009</v>
      </c>
      <c r="F17" s="645">
        <f>Gastos!G133</f>
        <v>68787849.487413496</v>
      </c>
      <c r="G17" s="645">
        <f>Gastos!H133</f>
        <v>72225425.719081238</v>
      </c>
      <c r="H17" s="645">
        <f>Gastos!I133</f>
        <v>76268689.174822211</v>
      </c>
      <c r="J17" s="585" t="s">
        <v>119</v>
      </c>
      <c r="K17" s="646">
        <f t="shared" si="1"/>
        <v>9.0883214621088948E-2</v>
      </c>
      <c r="L17" s="646">
        <f t="shared" si="0"/>
        <v>3.9349845639749123E-2</v>
      </c>
      <c r="M17" s="646">
        <f t="shared" si="0"/>
        <v>3.7909666914558778E-2</v>
      </c>
      <c r="N17" s="646">
        <f t="shared" si="0"/>
        <v>3.6521776088102982E-2</v>
      </c>
      <c r="O17" s="646">
        <f t="shared" si="0"/>
        <v>3.5184670176077862E-2</v>
      </c>
      <c r="P17" s="646">
        <f t="shared" si="0"/>
        <v>3.3896400257011586E-2</v>
      </c>
    </row>
    <row r="18" spans="2:16" ht="15.75" x14ac:dyDescent="0.25">
      <c r="B18" s="582" t="s">
        <v>156</v>
      </c>
      <c r="C18" s="642">
        <f t="shared" ref="C18:H18" si="3">C15-C16-C17</f>
        <v>186406533.84560016</v>
      </c>
      <c r="D18" s="642">
        <f t="shared" si="3"/>
        <v>569326667.23436201</v>
      </c>
      <c r="E18" s="642">
        <f t="shared" si="3"/>
        <v>624397199.57986295</v>
      </c>
      <c r="F18" s="642">
        <f t="shared" si="3"/>
        <v>688186654.89248359</v>
      </c>
      <c r="G18" s="642">
        <f t="shared" si="3"/>
        <v>762262275.60890281</v>
      </c>
      <c r="H18" s="642">
        <f t="shared" si="3"/>
        <v>847800022.16399527</v>
      </c>
      <c r="J18" s="638" t="s">
        <v>156</v>
      </c>
      <c r="K18" s="644">
        <f t="shared" si="1"/>
        <v>0.12412856108407019</v>
      </c>
      <c r="L18" s="644">
        <f t="shared" si="0"/>
        <v>0.35290606243943151</v>
      </c>
      <c r="M18" s="644">
        <f t="shared" si="0"/>
        <v>0.35924070288457266</v>
      </c>
      <c r="N18" s="644">
        <f t="shared" si="0"/>
        <v>0.36538137336889359</v>
      </c>
      <c r="O18" s="644">
        <f t="shared" si="0"/>
        <v>0.37133663786602294</v>
      </c>
      <c r="P18" s="644">
        <f t="shared" si="0"/>
        <v>0.37679117341721469</v>
      </c>
    </row>
    <row r="19" spans="2:16" ht="15.75" x14ac:dyDescent="0.25">
      <c r="B19" s="585"/>
      <c r="C19" s="647"/>
      <c r="D19" s="647"/>
      <c r="E19" s="647"/>
      <c r="F19" s="647"/>
      <c r="G19" s="647"/>
      <c r="H19" s="647"/>
      <c r="J19" s="585"/>
      <c r="K19" s="646">
        <f t="shared" si="1"/>
        <v>0</v>
      </c>
      <c r="L19" s="646">
        <f t="shared" si="0"/>
        <v>0</v>
      </c>
      <c r="M19" s="646">
        <f t="shared" si="0"/>
        <v>0</v>
      </c>
      <c r="N19" s="646">
        <f t="shared" si="0"/>
        <v>0</v>
      </c>
      <c r="O19" s="646">
        <f t="shared" si="0"/>
        <v>0</v>
      </c>
      <c r="P19" s="646">
        <f t="shared" si="0"/>
        <v>0</v>
      </c>
    </row>
    <row r="20" spans="2:16" ht="15.75" x14ac:dyDescent="0.25">
      <c r="B20" s="588" t="s">
        <v>98</v>
      </c>
      <c r="C20" s="645">
        <f>+Inversion!E252</f>
        <v>21400000</v>
      </c>
      <c r="D20" s="645">
        <f>+Inversion!F252</f>
        <v>21400000</v>
      </c>
      <c r="E20" s="645">
        <f>+Inversion!G252</f>
        <v>21400000</v>
      </c>
      <c r="F20" s="645">
        <f>+Inversion!H252</f>
        <v>21400000</v>
      </c>
      <c r="G20" s="645">
        <f>+Inversion!I252</f>
        <v>21400000</v>
      </c>
      <c r="H20" s="645">
        <f>+Inversion!J252</f>
        <v>0</v>
      </c>
      <c r="J20" s="585" t="s">
        <v>98</v>
      </c>
      <c r="K20" s="646">
        <f t="shared" si="1"/>
        <v>1.4250311683813337E-2</v>
      </c>
      <c r="L20" s="646">
        <f t="shared" si="0"/>
        <v>1.3265125578765472E-2</v>
      </c>
      <c r="M20" s="646">
        <f t="shared" si="0"/>
        <v>1.2312276619598387E-2</v>
      </c>
      <c r="N20" s="646">
        <f t="shared" si="0"/>
        <v>1.1361977647351969E-2</v>
      </c>
      <c r="O20" s="646">
        <f t="shared" si="0"/>
        <v>1.042502601087672E-2</v>
      </c>
      <c r="P20" s="646">
        <f t="shared" si="0"/>
        <v>0</v>
      </c>
    </row>
    <row r="21" spans="2:16" ht="15.75" x14ac:dyDescent="0.25">
      <c r="B21" s="588" t="s">
        <v>120</v>
      </c>
      <c r="C21" s="645">
        <f>+Inversion!E316+Inversion!E377</f>
        <v>55300</v>
      </c>
      <c r="D21" s="645">
        <f>+Inversion!F316+Inversion!F377</f>
        <v>55300</v>
      </c>
      <c r="E21" s="645">
        <f>+Inversion!G316+Inversion!G377</f>
        <v>55300</v>
      </c>
      <c r="F21" s="645">
        <f>+Inversion!H316+Inversion!H377</f>
        <v>55300</v>
      </c>
      <c r="G21" s="645">
        <f>+Inversion!I316+Inversion!I377</f>
        <v>55300</v>
      </c>
      <c r="H21" s="645">
        <f>+Inversion!J316+Inversion!J377</f>
        <v>0</v>
      </c>
      <c r="J21" s="585" t="s">
        <v>120</v>
      </c>
      <c r="K21" s="646">
        <f t="shared" si="1"/>
        <v>3.6824403556769977E-5</v>
      </c>
      <c r="L21" s="646">
        <f t="shared" si="0"/>
        <v>3.4278572173164981E-5</v>
      </c>
      <c r="M21" s="646">
        <f t="shared" si="0"/>
        <v>3.1816303601111721E-5</v>
      </c>
      <c r="N21" s="646">
        <f t="shared" si="0"/>
        <v>2.9360624481241305E-5</v>
      </c>
      <c r="O21" s="646">
        <f t="shared" si="0"/>
        <v>2.6939436373901055E-5</v>
      </c>
      <c r="P21" s="646">
        <f t="shared" si="0"/>
        <v>0</v>
      </c>
    </row>
    <row r="22" spans="2:16" s="7" customFormat="1" ht="15.75" x14ac:dyDescent="0.25">
      <c r="B22" s="582" t="s">
        <v>141</v>
      </c>
      <c r="C22" s="642">
        <f t="shared" ref="C22:H22" si="4">C18-C20-C21</f>
        <v>164951233.84560016</v>
      </c>
      <c r="D22" s="642">
        <f t="shared" si="4"/>
        <v>547871367.23436201</v>
      </c>
      <c r="E22" s="642">
        <f t="shared" si="4"/>
        <v>602941899.57986295</v>
      </c>
      <c r="F22" s="642">
        <f t="shared" si="4"/>
        <v>666731354.89248359</v>
      </c>
      <c r="G22" s="642">
        <f t="shared" si="4"/>
        <v>740806975.60890281</v>
      </c>
      <c r="H22" s="642">
        <f t="shared" si="4"/>
        <v>847800022.16399527</v>
      </c>
      <c r="I22" s="42"/>
      <c r="J22" s="638" t="s">
        <v>121</v>
      </c>
      <c r="K22" s="644">
        <f t="shared" si="1"/>
        <v>0.10984142499670009</v>
      </c>
      <c r="L22" s="644">
        <f t="shared" si="0"/>
        <v>0.33960665828849285</v>
      </c>
      <c r="M22" s="644">
        <f t="shared" si="0"/>
        <v>0.34689660996137317</v>
      </c>
      <c r="N22" s="644">
        <f t="shared" si="0"/>
        <v>0.3539900350970604</v>
      </c>
      <c r="O22" s="644">
        <f t="shared" si="0"/>
        <v>0.36088467241877231</v>
      </c>
      <c r="P22" s="644">
        <f t="shared" si="0"/>
        <v>0.37679117341721469</v>
      </c>
    </row>
    <row r="23" spans="2:16" ht="15.75" x14ac:dyDescent="0.25">
      <c r="B23" s="588"/>
      <c r="C23" s="645"/>
      <c r="D23" s="645"/>
      <c r="E23" s="645"/>
      <c r="F23" s="645"/>
      <c r="G23" s="645"/>
      <c r="H23" s="645"/>
      <c r="J23" s="585"/>
      <c r="K23" s="646">
        <f t="shared" si="1"/>
        <v>0</v>
      </c>
      <c r="L23" s="646">
        <f t="shared" si="0"/>
        <v>0</v>
      </c>
      <c r="M23" s="646">
        <f t="shared" si="0"/>
        <v>0</v>
      </c>
      <c r="N23" s="646">
        <f t="shared" si="0"/>
        <v>0</v>
      </c>
      <c r="O23" s="646">
        <f t="shared" si="0"/>
        <v>0</v>
      </c>
      <c r="P23" s="646">
        <f t="shared" si="0"/>
        <v>0</v>
      </c>
    </row>
    <row r="24" spans="2:16" ht="15.75" x14ac:dyDescent="0.25">
      <c r="B24" s="648" t="s">
        <v>122</v>
      </c>
      <c r="C24" s="645">
        <f t="shared" ref="C24:H24" si="5">+D60</f>
        <v>0</v>
      </c>
      <c r="D24" s="645">
        <f t="shared" si="5"/>
        <v>0</v>
      </c>
      <c r="E24" s="645">
        <f t="shared" si="5"/>
        <v>0</v>
      </c>
      <c r="F24" s="645">
        <f t="shared" si="5"/>
        <v>0</v>
      </c>
      <c r="G24" s="645">
        <f t="shared" si="5"/>
        <v>0</v>
      </c>
      <c r="H24" s="645">
        <f t="shared" si="5"/>
        <v>0</v>
      </c>
      <c r="J24" s="649" t="s">
        <v>122</v>
      </c>
      <c r="K24" s="646">
        <f t="shared" si="1"/>
        <v>0</v>
      </c>
      <c r="L24" s="646">
        <f t="shared" si="0"/>
        <v>0</v>
      </c>
      <c r="M24" s="646">
        <f t="shared" si="0"/>
        <v>0</v>
      </c>
      <c r="N24" s="646">
        <f t="shared" si="0"/>
        <v>0</v>
      </c>
      <c r="O24" s="646">
        <f t="shared" si="0"/>
        <v>0</v>
      </c>
      <c r="P24" s="646">
        <f t="shared" si="0"/>
        <v>0</v>
      </c>
    </row>
    <row r="25" spans="2:16" ht="15.75" x14ac:dyDescent="0.25">
      <c r="B25" s="588" t="s">
        <v>123</v>
      </c>
      <c r="C25" s="645">
        <f t="shared" ref="C25:H25" si="6">+D80</f>
        <v>0</v>
      </c>
      <c r="D25" s="645">
        <f t="shared" si="6"/>
        <v>0</v>
      </c>
      <c r="E25" s="645">
        <f t="shared" si="6"/>
        <v>0</v>
      </c>
      <c r="F25" s="645">
        <f t="shared" si="6"/>
        <v>0</v>
      </c>
      <c r="G25" s="645">
        <f t="shared" si="6"/>
        <v>0</v>
      </c>
      <c r="H25" s="645">
        <f t="shared" si="6"/>
        <v>0</v>
      </c>
      <c r="J25" s="585" t="s">
        <v>123</v>
      </c>
      <c r="K25" s="646">
        <f t="shared" si="1"/>
        <v>0</v>
      </c>
      <c r="L25" s="646">
        <f t="shared" si="0"/>
        <v>0</v>
      </c>
      <c r="M25" s="646">
        <f t="shared" si="0"/>
        <v>0</v>
      </c>
      <c r="N25" s="646">
        <f t="shared" si="0"/>
        <v>0</v>
      </c>
      <c r="O25" s="646">
        <f t="shared" si="0"/>
        <v>0</v>
      </c>
      <c r="P25" s="646">
        <f t="shared" si="0"/>
        <v>0</v>
      </c>
    </row>
    <row r="26" spans="2:16" ht="15.75" x14ac:dyDescent="0.25">
      <c r="B26" s="582" t="s">
        <v>13</v>
      </c>
      <c r="C26" s="642">
        <f t="shared" ref="C26:H26" si="7">C22+C24-C25</f>
        <v>164951233.84560016</v>
      </c>
      <c r="D26" s="642">
        <f t="shared" si="7"/>
        <v>547871367.23436201</v>
      </c>
      <c r="E26" s="642">
        <f t="shared" si="7"/>
        <v>602941899.57986295</v>
      </c>
      <c r="F26" s="642">
        <f t="shared" si="7"/>
        <v>666731354.89248359</v>
      </c>
      <c r="G26" s="642">
        <f t="shared" si="7"/>
        <v>740806975.60890281</v>
      </c>
      <c r="H26" s="642">
        <f t="shared" si="7"/>
        <v>847800022.16399527</v>
      </c>
      <c r="J26" s="638" t="s">
        <v>13</v>
      </c>
      <c r="K26" s="644">
        <f t="shared" si="1"/>
        <v>0.10984142499670009</v>
      </c>
      <c r="L26" s="644">
        <f t="shared" si="0"/>
        <v>0.33960665828849285</v>
      </c>
      <c r="M26" s="644">
        <f t="shared" si="0"/>
        <v>0.34689660996137317</v>
      </c>
      <c r="N26" s="644">
        <f t="shared" si="0"/>
        <v>0.3539900350970604</v>
      </c>
      <c r="O26" s="644">
        <f t="shared" si="0"/>
        <v>0.36088467241877231</v>
      </c>
      <c r="P26" s="644">
        <f t="shared" si="0"/>
        <v>0.37679117341721469</v>
      </c>
    </row>
    <row r="27" spans="2:16" ht="15.75" x14ac:dyDescent="0.25">
      <c r="B27" s="585"/>
      <c r="C27" s="647"/>
      <c r="D27" s="647"/>
      <c r="E27" s="647"/>
      <c r="F27" s="647"/>
      <c r="G27" s="647"/>
      <c r="H27" s="647"/>
      <c r="J27" s="585"/>
      <c r="K27" s="646">
        <f t="shared" si="1"/>
        <v>0</v>
      </c>
      <c r="L27" s="646">
        <f t="shared" si="0"/>
        <v>0</v>
      </c>
      <c r="M27" s="646">
        <f t="shared" si="0"/>
        <v>0</v>
      </c>
      <c r="N27" s="646">
        <f t="shared" si="0"/>
        <v>0</v>
      </c>
      <c r="O27" s="646">
        <f t="shared" si="0"/>
        <v>0</v>
      </c>
      <c r="P27" s="646">
        <f t="shared" si="0"/>
        <v>0</v>
      </c>
    </row>
    <row r="28" spans="2:16" ht="15.75" x14ac:dyDescent="0.25">
      <c r="B28" s="585" t="s">
        <v>124</v>
      </c>
      <c r="C28" s="647">
        <v>0</v>
      </c>
      <c r="D28" s="647">
        <v>0</v>
      </c>
      <c r="E28" s="647">
        <v>0</v>
      </c>
      <c r="F28" s="647">
        <v>0</v>
      </c>
      <c r="G28" s="647">
        <v>0</v>
      </c>
      <c r="H28" s="647">
        <v>0</v>
      </c>
      <c r="J28" s="649" t="s">
        <v>124</v>
      </c>
      <c r="K28" s="646">
        <f t="shared" si="1"/>
        <v>0</v>
      </c>
      <c r="L28" s="646">
        <f t="shared" si="0"/>
        <v>0</v>
      </c>
      <c r="M28" s="646">
        <f t="shared" si="0"/>
        <v>0</v>
      </c>
      <c r="N28" s="646">
        <f t="shared" si="0"/>
        <v>0</v>
      </c>
      <c r="O28" s="646">
        <f t="shared" si="0"/>
        <v>0</v>
      </c>
      <c r="P28" s="646">
        <f t="shared" si="0"/>
        <v>0</v>
      </c>
    </row>
    <row r="29" spans="2:16" ht="15.75" x14ac:dyDescent="0.25">
      <c r="B29" s="582" t="s">
        <v>125</v>
      </c>
      <c r="C29" s="642">
        <f t="shared" ref="C29:H29" si="8">SUM(C30:C33)</f>
        <v>41724992.658883698</v>
      </c>
      <c r="D29" s="732">
        <f t="shared" si="8"/>
        <v>34195670.675325759</v>
      </c>
      <c r="E29" s="642">
        <f t="shared" si="8"/>
        <v>26666348.691767816</v>
      </c>
      <c r="F29" s="642">
        <f t="shared" si="8"/>
        <v>19137026.708209865</v>
      </c>
      <c r="G29" s="642">
        <f t="shared" si="8"/>
        <v>11607704.724651895</v>
      </c>
      <c r="H29" s="642">
        <f t="shared" si="8"/>
        <v>0</v>
      </c>
      <c r="J29" s="638" t="s">
        <v>125</v>
      </c>
      <c r="K29" s="644">
        <f t="shared" ref="K29:P30" si="9">+IF(C29=0,0,(C29/C$13))</f>
        <v>2.7784773382893275E-2</v>
      </c>
      <c r="L29" s="644">
        <f t="shared" si="9"/>
        <v>2.1196722698986172E-2</v>
      </c>
      <c r="M29" s="644">
        <f t="shared" si="9"/>
        <v>1.5342217828397706E-2</v>
      </c>
      <c r="N29" s="644">
        <f t="shared" si="9"/>
        <v>1.0160489238105521E-2</v>
      </c>
      <c r="O29" s="644">
        <f t="shared" si="9"/>
        <v>5.6547020411716166E-3</v>
      </c>
      <c r="P29" s="644">
        <f t="shared" si="9"/>
        <v>0</v>
      </c>
    </row>
    <row r="30" spans="2:16" ht="15.75" x14ac:dyDescent="0.25">
      <c r="B30" s="588" t="s">
        <v>55</v>
      </c>
      <c r="C30" s="645">
        <f>+SUM(Creditos!D42:D53)</f>
        <v>41724992.658883698</v>
      </c>
      <c r="D30" s="645">
        <f>+SUM(Creditos!D54:D65)</f>
        <v>34195670.675325759</v>
      </c>
      <c r="E30" s="645">
        <f>+SUM(Creditos!D66:D77)</f>
        <v>26666348.691767816</v>
      </c>
      <c r="F30" s="645">
        <f>+SUM(Creditos!D78:D89)</f>
        <v>19137026.708209865</v>
      </c>
      <c r="G30" s="645">
        <f>+SUM(Creditos!D90:D101)</f>
        <v>11607704.724651895</v>
      </c>
      <c r="H30" s="645"/>
      <c r="J30" s="585" t="s">
        <v>55</v>
      </c>
      <c r="K30" s="646">
        <f t="shared" si="9"/>
        <v>2.7784773382893275E-2</v>
      </c>
      <c r="L30" s="646">
        <f t="shared" si="9"/>
        <v>2.1196722698986172E-2</v>
      </c>
      <c r="M30" s="646">
        <f t="shared" si="9"/>
        <v>1.5342217828397706E-2</v>
      </c>
      <c r="N30" s="646">
        <f t="shared" si="9"/>
        <v>1.0160489238105521E-2</v>
      </c>
      <c r="O30" s="646">
        <f t="shared" si="9"/>
        <v>5.6547020411716166E-3</v>
      </c>
      <c r="P30" s="646">
        <f t="shared" si="9"/>
        <v>0</v>
      </c>
    </row>
    <row r="31" spans="2:16" ht="15.75" x14ac:dyDescent="0.25">
      <c r="B31" s="588" t="s">
        <v>423</v>
      </c>
      <c r="C31" s="645">
        <f>Creditos!H41+Creditos!I41</f>
        <v>0</v>
      </c>
      <c r="D31" s="645"/>
      <c r="E31" s="645"/>
      <c r="F31" s="645"/>
      <c r="G31" s="645"/>
      <c r="H31" s="645"/>
      <c r="J31" s="585" t="s">
        <v>423</v>
      </c>
      <c r="K31" s="646"/>
      <c r="L31" s="646"/>
      <c r="M31" s="646"/>
      <c r="N31" s="646"/>
      <c r="O31" s="646"/>
      <c r="P31" s="646"/>
    </row>
    <row r="32" spans="2:16" ht="15.75" x14ac:dyDescent="0.25">
      <c r="B32" s="588" t="s">
        <v>126</v>
      </c>
      <c r="C32" s="645">
        <f>+C13*Supuestos!D39</f>
        <v>0</v>
      </c>
      <c r="D32" s="645">
        <f>+D13*Supuestos!E39</f>
        <v>0</v>
      </c>
      <c r="E32" s="645">
        <f>+E13*Supuestos!F39</f>
        <v>0</v>
      </c>
      <c r="F32" s="645">
        <f>+F13*Supuestos!G39</f>
        <v>0</v>
      </c>
      <c r="G32" s="645">
        <f>+G13*Supuestos!H39</f>
        <v>0</v>
      </c>
      <c r="H32" s="645">
        <f>+H13*Supuestos!I39</f>
        <v>0</v>
      </c>
      <c r="J32" s="585" t="s">
        <v>126</v>
      </c>
      <c r="K32" s="646">
        <f t="shared" si="1"/>
        <v>0</v>
      </c>
      <c r="L32" s="646">
        <f t="shared" ref="L32:P36" si="10">+IF(D32=0,0,(D32/D$13))</f>
        <v>0</v>
      </c>
      <c r="M32" s="646">
        <f t="shared" si="10"/>
        <v>0</v>
      </c>
      <c r="N32" s="646">
        <f t="shared" si="10"/>
        <v>0</v>
      </c>
      <c r="O32" s="646">
        <f t="shared" si="10"/>
        <v>0</v>
      </c>
      <c r="P32" s="646">
        <f t="shared" si="10"/>
        <v>0</v>
      </c>
    </row>
    <row r="33" spans="2:16" ht="15.75" x14ac:dyDescent="0.25">
      <c r="B33" s="588" t="s">
        <v>127</v>
      </c>
      <c r="C33" s="645"/>
      <c r="D33" s="645">
        <f>+'BG_P&amp;G'!C33*(1+Supuestos!D13)</f>
        <v>0</v>
      </c>
      <c r="E33" s="645">
        <f>+'BG_P&amp;G'!D33*(1+Supuestos!D13)</f>
        <v>0</v>
      </c>
      <c r="F33" s="645">
        <f>+'BG_P&amp;G'!E33*(1+Supuestos!E13)</f>
        <v>0</v>
      </c>
      <c r="G33" s="645">
        <f>+'BG_P&amp;G'!F33*(1+Supuestos!F13)</f>
        <v>0</v>
      </c>
      <c r="H33" s="645">
        <f>+'BG_P&amp;G'!G33*(1+Supuestos!G13)</f>
        <v>0</v>
      </c>
      <c r="J33" s="585" t="s">
        <v>127</v>
      </c>
      <c r="K33" s="646">
        <f>+IF(C33=0,0,(C33/C$13))</f>
        <v>0</v>
      </c>
      <c r="L33" s="646">
        <f t="shared" si="10"/>
        <v>0</v>
      </c>
      <c r="M33" s="646">
        <f t="shared" si="10"/>
        <v>0</v>
      </c>
      <c r="N33" s="646">
        <f t="shared" si="10"/>
        <v>0</v>
      </c>
      <c r="O33" s="646">
        <f t="shared" si="10"/>
        <v>0</v>
      </c>
      <c r="P33" s="646">
        <f t="shared" si="10"/>
        <v>0</v>
      </c>
    </row>
    <row r="34" spans="2:16" s="5" customFormat="1" ht="15.75" x14ac:dyDescent="0.25">
      <c r="B34" s="582" t="s">
        <v>14</v>
      </c>
      <c r="C34" s="642">
        <f t="shared" ref="C34:H34" si="11">C26+C28-C29</f>
        <v>123226241.18671647</v>
      </c>
      <c r="D34" s="642">
        <f>+D26-D29</f>
        <v>513675696.55903625</v>
      </c>
      <c r="E34" s="642">
        <f t="shared" si="11"/>
        <v>576275550.88809514</v>
      </c>
      <c r="F34" s="642">
        <f t="shared" si="11"/>
        <v>647594328.18427372</v>
      </c>
      <c r="G34" s="642">
        <f t="shared" si="11"/>
        <v>729199270.88425088</v>
      </c>
      <c r="H34" s="642">
        <f t="shared" si="11"/>
        <v>847800022.16399527</v>
      </c>
      <c r="I34" s="45"/>
      <c r="J34" s="638" t="s">
        <v>14</v>
      </c>
      <c r="K34" s="644">
        <f>+IF(C34=0,0,(C34/C$13))</f>
        <v>8.2056651613806819E-2</v>
      </c>
      <c r="L34" s="644">
        <f t="shared" si="10"/>
        <v>0.3184099355895067</v>
      </c>
      <c r="M34" s="644">
        <f t="shared" si="10"/>
        <v>0.33155439213297544</v>
      </c>
      <c r="N34" s="644">
        <f t="shared" si="10"/>
        <v>0.34382954585895487</v>
      </c>
      <c r="O34" s="644">
        <f t="shared" si="10"/>
        <v>0.35522997037760068</v>
      </c>
      <c r="P34" s="644">
        <f t="shared" si="10"/>
        <v>0.37679117341721469</v>
      </c>
    </row>
    <row r="35" spans="2:16" ht="15.75" x14ac:dyDescent="0.25">
      <c r="B35" s="588" t="s">
        <v>128</v>
      </c>
      <c r="C35" s="645">
        <f>IF(C34&gt;0,C34*Supuestos!D32,0)</f>
        <v>49290496.474686593</v>
      </c>
      <c r="D35" s="645">
        <f>IF(D34&gt;0,D34*Supuestos!E32,0)</f>
        <v>205470278.62361452</v>
      </c>
      <c r="E35" s="645">
        <f>IF(E34&gt;0,E34*Supuestos!F32,0)</f>
        <v>230510220.35523808</v>
      </c>
      <c r="F35" s="645">
        <f>IF(F34&gt;0,F34*Supuestos!G32,0)</f>
        <v>259037731.27370951</v>
      </c>
      <c r="G35" s="645">
        <f>IF(G34&gt;0,G34*Supuestos!H32,0)</f>
        <v>291679708.35370034</v>
      </c>
      <c r="H35" s="645">
        <f>IF(H34&gt;0,H34*Supuestos!I32,0)</f>
        <v>339120008.86559814</v>
      </c>
      <c r="J35" s="585" t="s">
        <v>128</v>
      </c>
      <c r="K35" s="646">
        <f>+IF(C35=0,0,(C35/C$13))</f>
        <v>3.2822660645522729E-2</v>
      </c>
      <c r="L35" s="646">
        <f t="shared" si="10"/>
        <v>0.12736397423580267</v>
      </c>
      <c r="M35" s="646">
        <f t="shared" si="10"/>
        <v>0.13262175685319019</v>
      </c>
      <c r="N35" s="646">
        <f t="shared" si="10"/>
        <v>0.13753181834358197</v>
      </c>
      <c r="O35" s="646">
        <f t="shared" si="10"/>
        <v>0.14209198815104027</v>
      </c>
      <c r="P35" s="646">
        <f t="shared" si="10"/>
        <v>0.15071646936688587</v>
      </c>
    </row>
    <row r="36" spans="2:16" s="7" customFormat="1" ht="15.75" x14ac:dyDescent="0.25">
      <c r="B36" s="582" t="s">
        <v>279</v>
      </c>
      <c r="C36" s="642">
        <f t="shared" ref="C36:H36" si="12">C34-C35</f>
        <v>73935744.712029874</v>
      </c>
      <c r="D36" s="642">
        <f t="shared" si="12"/>
        <v>308205417.93542171</v>
      </c>
      <c r="E36" s="642">
        <f t="shared" si="12"/>
        <v>345765330.53285706</v>
      </c>
      <c r="F36" s="642">
        <f t="shared" si="12"/>
        <v>388556596.91056418</v>
      </c>
      <c r="G36" s="642">
        <f t="shared" si="12"/>
        <v>437519562.53055054</v>
      </c>
      <c r="H36" s="642">
        <f t="shared" si="12"/>
        <v>508680013.29839712</v>
      </c>
      <c r="I36" s="42"/>
      <c r="J36" s="638" t="s">
        <v>129</v>
      </c>
      <c r="K36" s="644">
        <f>+IF(C36=0,0,(C36/C$13))</f>
        <v>4.923399096828409E-2</v>
      </c>
      <c r="L36" s="644">
        <f t="shared" si="10"/>
        <v>0.19104596135370397</v>
      </c>
      <c r="M36" s="644">
        <f t="shared" si="10"/>
        <v>0.19893263527978525</v>
      </c>
      <c r="N36" s="644">
        <f t="shared" si="10"/>
        <v>0.2062977275153729</v>
      </c>
      <c r="O36" s="644">
        <f t="shared" si="10"/>
        <v>0.21313798222656041</v>
      </c>
      <c r="P36" s="644">
        <f t="shared" si="10"/>
        <v>0.22607470405032878</v>
      </c>
    </row>
    <row r="37" spans="2:16" s="7" customFormat="1" ht="15.75" x14ac:dyDescent="0.25">
      <c r="B37" s="585"/>
      <c r="C37" s="647"/>
      <c r="D37" s="647"/>
      <c r="E37" s="647"/>
      <c r="F37" s="647"/>
      <c r="G37" s="647"/>
      <c r="H37" s="647"/>
      <c r="I37" s="42"/>
      <c r="J37" s="430"/>
      <c r="K37" s="650"/>
      <c r="L37" s="650"/>
      <c r="M37" s="650"/>
      <c r="N37" s="650"/>
      <c r="O37" s="650"/>
      <c r="P37" s="650"/>
    </row>
    <row r="38" spans="2:16" s="7" customFormat="1" ht="15.75" x14ac:dyDescent="0.25">
      <c r="B38" s="582" t="s">
        <v>130</v>
      </c>
      <c r="C38" s="642">
        <f>IF(C36&lt;0,0,C36*Supuestos!D52)</f>
        <v>0</v>
      </c>
      <c r="D38" s="642">
        <f>IF(D36&lt;0,0,D36*Supuestos!E52)</f>
        <v>0</v>
      </c>
      <c r="E38" s="642">
        <f>IF(E36&lt;0,0,E36*Supuestos!F52)</f>
        <v>0</v>
      </c>
      <c r="F38" s="642">
        <f>IF(F36&lt;0,0,F36*Supuestos!G52)</f>
        <v>0</v>
      </c>
      <c r="G38" s="642">
        <f>IF(G36&lt;0,0,G36*Supuestos!H52)</f>
        <v>0</v>
      </c>
      <c r="H38" s="642">
        <f>IF(H36&lt;0,0,H36*Supuestos!I52)</f>
        <v>0</v>
      </c>
      <c r="I38" s="42"/>
      <c r="J38" s="430"/>
      <c r="K38" s="650"/>
      <c r="L38" s="650"/>
      <c r="M38" s="650"/>
      <c r="N38" s="650"/>
      <c r="O38" s="650"/>
      <c r="P38" s="650"/>
    </row>
    <row r="39" spans="2:16" s="7" customFormat="1" ht="15.75" x14ac:dyDescent="0.25">
      <c r="B39" s="582" t="s">
        <v>280</v>
      </c>
      <c r="C39" s="642">
        <f t="shared" ref="C39:H39" si="13">C36-C38</f>
        <v>73935744.712029874</v>
      </c>
      <c r="D39" s="642">
        <f t="shared" si="13"/>
        <v>308205417.93542171</v>
      </c>
      <c r="E39" s="642">
        <f t="shared" si="13"/>
        <v>345765330.53285706</v>
      </c>
      <c r="F39" s="642">
        <f t="shared" si="13"/>
        <v>388556596.91056418</v>
      </c>
      <c r="G39" s="642">
        <f t="shared" si="13"/>
        <v>437519562.53055054</v>
      </c>
      <c r="H39" s="642">
        <f t="shared" si="13"/>
        <v>508680013.29839712</v>
      </c>
      <c r="I39" s="42"/>
      <c r="J39" s="430"/>
      <c r="K39" s="650"/>
      <c r="L39" s="650"/>
      <c r="M39" s="650"/>
      <c r="N39" s="650"/>
      <c r="O39" s="650"/>
      <c r="P39" s="650"/>
    </row>
    <row r="40" spans="2:16" s="7" customFormat="1" ht="15.75" x14ac:dyDescent="0.25">
      <c r="B40" s="585"/>
      <c r="C40" s="647"/>
      <c r="D40" s="647"/>
      <c r="E40" s="647"/>
      <c r="F40" s="647"/>
      <c r="G40" s="647"/>
      <c r="H40" s="647"/>
      <c r="I40" s="42"/>
      <c r="J40" s="430"/>
      <c r="K40" s="650"/>
      <c r="L40" s="650"/>
      <c r="M40" s="650"/>
      <c r="N40" s="650"/>
      <c r="O40" s="650"/>
      <c r="P40" s="650"/>
    </row>
    <row r="41" spans="2:16" ht="15.75" x14ac:dyDescent="0.25">
      <c r="B41" s="585" t="s">
        <v>15</v>
      </c>
      <c r="C41" s="647"/>
      <c r="D41" s="647">
        <f>C39*Supuestos!E33</f>
        <v>0</v>
      </c>
      <c r="E41" s="647">
        <f>D39*Supuestos!F33</f>
        <v>0</v>
      </c>
      <c r="F41" s="647">
        <f>E39*Supuestos!G33</f>
        <v>0</v>
      </c>
      <c r="G41" s="647">
        <f>F39*Supuestos!H33</f>
        <v>0</v>
      </c>
      <c r="H41" s="647">
        <f>G39*Supuestos!I33</f>
        <v>0</v>
      </c>
      <c r="J41" s="638" t="s">
        <v>15</v>
      </c>
      <c r="K41" s="644">
        <f t="shared" ref="K41:P41" si="14">+IF(C41=0,0,(C41/C$13))</f>
        <v>0</v>
      </c>
      <c r="L41" s="644">
        <f t="shared" si="14"/>
        <v>0</v>
      </c>
      <c r="M41" s="644">
        <f t="shared" si="14"/>
        <v>0</v>
      </c>
      <c r="N41" s="644">
        <f t="shared" si="14"/>
        <v>0</v>
      </c>
      <c r="O41" s="644">
        <f t="shared" si="14"/>
        <v>0</v>
      </c>
      <c r="P41" s="644">
        <f t="shared" si="14"/>
        <v>0</v>
      </c>
    </row>
    <row r="42" spans="2:16" ht="15.75" x14ac:dyDescent="0.25">
      <c r="B42" s="591" t="s">
        <v>208</v>
      </c>
      <c r="C42" s="651">
        <f t="shared" ref="C42:H42" si="15">IF(C36&gt;0,C36-C41,0)</f>
        <v>73935744.712029874</v>
      </c>
      <c r="D42" s="651">
        <f t="shared" si="15"/>
        <v>308205417.93542171</v>
      </c>
      <c r="E42" s="651">
        <f t="shared" si="15"/>
        <v>345765330.53285706</v>
      </c>
      <c r="F42" s="651">
        <f t="shared" si="15"/>
        <v>388556596.91056418</v>
      </c>
      <c r="G42" s="651">
        <f t="shared" si="15"/>
        <v>437519562.53055054</v>
      </c>
      <c r="H42" s="651">
        <f t="shared" si="15"/>
        <v>508680013.29839712</v>
      </c>
    </row>
    <row r="43" spans="2:16" ht="15.75" x14ac:dyDescent="0.25">
      <c r="B43" s="591" t="s">
        <v>99</v>
      </c>
      <c r="C43" s="651">
        <f>C42</f>
        <v>73935744.712029874</v>
      </c>
      <c r="D43" s="651">
        <f>C43+D42</f>
        <v>382141162.64745158</v>
      </c>
      <c r="E43" s="651">
        <f>D43+E42</f>
        <v>727906493.18030858</v>
      </c>
      <c r="F43" s="651">
        <f>E43+F42</f>
        <v>1116463090.0908728</v>
      </c>
      <c r="G43" s="651">
        <f>F43+G42</f>
        <v>1553982652.6214232</v>
      </c>
      <c r="H43" s="651">
        <f>G43+H42</f>
        <v>2062662665.9198203</v>
      </c>
      <c r="J43" s="114"/>
      <c r="K43" s="652"/>
      <c r="L43" s="652"/>
      <c r="M43" s="652"/>
      <c r="N43" s="652"/>
      <c r="O43" s="653"/>
    </row>
    <row r="44" spans="2:16" x14ac:dyDescent="0.2">
      <c r="B44" s="424"/>
      <c r="C44" s="114"/>
      <c r="D44" s="654"/>
      <c r="E44" s="654"/>
      <c r="F44" s="654"/>
      <c r="G44" s="654"/>
      <c r="H44" s="654"/>
      <c r="J44" s="114"/>
      <c r="K44" s="652"/>
      <c r="L44" s="652"/>
      <c r="M44" s="652"/>
      <c r="N44" s="652"/>
      <c r="O44" s="653"/>
    </row>
    <row r="45" spans="2:16" x14ac:dyDescent="0.2">
      <c r="B45" s="424"/>
      <c r="C45" s="114"/>
      <c r="D45" s="654"/>
      <c r="E45" s="654"/>
      <c r="F45" s="654"/>
      <c r="G45" s="654"/>
      <c r="H45" s="654"/>
      <c r="J45" s="114"/>
      <c r="K45" s="652"/>
      <c r="L45" s="652"/>
      <c r="M45" s="652"/>
      <c r="N45" s="652"/>
      <c r="O45" s="653"/>
    </row>
    <row r="46" spans="2:16" x14ac:dyDescent="0.2">
      <c r="B46" s="424"/>
      <c r="C46" s="114"/>
      <c r="D46" s="654"/>
      <c r="E46" s="654"/>
      <c r="F46" s="654"/>
      <c r="G46" s="654"/>
      <c r="H46" s="654"/>
      <c r="J46" s="114"/>
      <c r="K46" s="652"/>
      <c r="L46" s="652"/>
      <c r="M46" s="652"/>
      <c r="N46" s="652"/>
      <c r="O46" s="653"/>
    </row>
    <row r="47" spans="2:16" x14ac:dyDescent="0.2">
      <c r="C47" s="618"/>
      <c r="D47" s="618"/>
      <c r="E47" s="618"/>
      <c r="F47" s="618"/>
      <c r="G47" s="618"/>
      <c r="H47" s="618"/>
    </row>
    <row r="48" spans="2:16" x14ac:dyDescent="0.2">
      <c r="C48" s="618"/>
      <c r="D48" s="618"/>
      <c r="E48" s="618"/>
      <c r="F48" s="618"/>
      <c r="G48" s="618"/>
      <c r="H48" s="618"/>
    </row>
    <row r="49" spans="2:16" ht="15.75" x14ac:dyDescent="0.25">
      <c r="B49" s="816" t="str">
        <f>Supuestos!B8</f>
        <v>Centro de acopio la Bonanza Campesina</v>
      </c>
      <c r="C49" s="817"/>
      <c r="D49" s="817"/>
      <c r="E49" s="817"/>
      <c r="F49" s="817"/>
      <c r="G49" s="817"/>
      <c r="H49" s="817"/>
      <c r="I49" s="817"/>
      <c r="K49" s="655"/>
      <c r="L49" s="655"/>
      <c r="M49" s="655"/>
      <c r="N49" s="655"/>
      <c r="O49" s="655"/>
    </row>
    <row r="50" spans="2:16" ht="15.75" x14ac:dyDescent="0.25">
      <c r="B50" s="816" t="s">
        <v>149</v>
      </c>
      <c r="C50" s="817"/>
      <c r="D50" s="817"/>
      <c r="E50" s="817"/>
      <c r="F50" s="817"/>
      <c r="G50" s="817"/>
      <c r="H50" s="817"/>
      <c r="I50" s="817"/>
      <c r="K50" s="656"/>
      <c r="L50" s="656"/>
      <c r="M50" s="656"/>
      <c r="N50" s="656"/>
      <c r="O50" s="656"/>
    </row>
    <row r="51" spans="2:16" ht="15.75" x14ac:dyDescent="0.25">
      <c r="B51" s="632"/>
      <c r="C51" s="632"/>
      <c r="D51" s="632"/>
      <c r="E51" s="632"/>
      <c r="F51" s="632"/>
      <c r="G51" s="632"/>
      <c r="H51" s="632"/>
    </row>
    <row r="52" spans="2:16" ht="15.75" x14ac:dyDescent="0.25">
      <c r="B52" s="582" t="str">
        <f>B11</f>
        <v>Período</v>
      </c>
      <c r="C52" s="583" t="s">
        <v>4</v>
      </c>
      <c r="D52" s="583" t="s">
        <v>325</v>
      </c>
      <c r="E52" s="583" t="s">
        <v>326</v>
      </c>
      <c r="F52" s="583" t="s">
        <v>327</v>
      </c>
      <c r="G52" s="583" t="s">
        <v>328</v>
      </c>
      <c r="H52" s="583" t="s">
        <v>329</v>
      </c>
      <c r="I52" s="583" t="s">
        <v>393</v>
      </c>
    </row>
    <row r="53" spans="2:16" ht="15" x14ac:dyDescent="0.2">
      <c r="B53" s="588"/>
      <c r="C53" s="657"/>
      <c r="D53" s="657"/>
      <c r="E53" s="657"/>
      <c r="F53" s="657"/>
      <c r="G53" s="657"/>
      <c r="H53" s="657"/>
      <c r="I53" s="657"/>
    </row>
    <row r="54" spans="2:16" s="5" customFormat="1" ht="15.75" x14ac:dyDescent="0.25">
      <c r="B54" s="585" t="s">
        <v>18</v>
      </c>
      <c r="C54" s="658"/>
      <c r="D54" s="659"/>
      <c r="E54" s="659"/>
      <c r="F54" s="659"/>
      <c r="G54" s="659"/>
      <c r="H54" s="659"/>
      <c r="I54" s="659"/>
      <c r="J54" s="45"/>
      <c r="K54" s="45"/>
      <c r="L54" s="45"/>
      <c r="M54" s="45"/>
      <c r="N54" s="45"/>
      <c r="O54" s="45"/>
      <c r="P54" s="45"/>
    </row>
    <row r="55" spans="2:16" ht="15" x14ac:dyDescent="0.2">
      <c r="B55" s="588" t="s">
        <v>209</v>
      </c>
      <c r="D55" s="660">
        <f>C13/360*Supuestos!D43</f>
        <v>0</v>
      </c>
      <c r="E55" s="660">
        <f>D13/360*Supuestos!E43</f>
        <v>0</v>
      </c>
      <c r="F55" s="660">
        <f>E13/360*Supuestos!F43</f>
        <v>0</v>
      </c>
      <c r="G55" s="660">
        <f>F13/360*Supuestos!G43</f>
        <v>0</v>
      </c>
      <c r="H55" s="660">
        <f>G13/360*Supuestos!H43</f>
        <v>0</v>
      </c>
      <c r="I55" s="660">
        <f>H13/360*Supuestos!I43</f>
        <v>0</v>
      </c>
      <c r="J55" s="661"/>
    </row>
    <row r="56" spans="2:16" ht="15" x14ac:dyDescent="0.2">
      <c r="B56" s="588" t="s">
        <v>285</v>
      </c>
      <c r="C56" s="662">
        <f>'Capital de trabajo'!D38</f>
        <v>201753161.67544001</v>
      </c>
      <c r="D56" s="660">
        <f>+BANCOS!D104</f>
        <v>298263092.5829165</v>
      </c>
      <c r="E56" s="660">
        <f>+BANCOS!E104</f>
        <v>735931982.38802612</v>
      </c>
      <c r="F56" s="660">
        <f>+BANCOS!F104</f>
        <v>1080020944.3732665</v>
      </c>
      <c r="G56" s="660">
        <f>+BANCOS!G104</f>
        <v>1470388741.9230623</v>
      </c>
      <c r="H56" s="660">
        <f>+BANCOS!H104</f>
        <v>1913833971.2543638</v>
      </c>
      <c r="I56" s="660">
        <f>+BANCOS!I104</f>
        <v>2421782674.7854185</v>
      </c>
      <c r="J56" s="661"/>
    </row>
    <row r="57" spans="2:16" ht="15" x14ac:dyDescent="0.2">
      <c r="B57" s="588" t="s">
        <v>131</v>
      </c>
      <c r="C57" s="663"/>
      <c r="D57" s="660">
        <v>0</v>
      </c>
      <c r="E57" s="660">
        <v>0</v>
      </c>
      <c r="F57" s="660">
        <v>0</v>
      </c>
      <c r="G57" s="660">
        <v>0</v>
      </c>
      <c r="H57" s="660">
        <v>0</v>
      </c>
      <c r="I57" s="660">
        <v>0</v>
      </c>
    </row>
    <row r="58" spans="2:16" ht="15" x14ac:dyDescent="0.2">
      <c r="B58" s="588" t="s">
        <v>132</v>
      </c>
      <c r="C58" s="660"/>
      <c r="D58" s="660">
        <f>(C13*Supuestos!D44)*Supuestos!D45/360</f>
        <v>0</v>
      </c>
      <c r="E58" s="660">
        <f>D13*Supuestos!E44*Supuestos!E45/360</f>
        <v>0</v>
      </c>
      <c r="F58" s="660">
        <f>E13*Supuestos!F44*Supuestos!F45/360</f>
        <v>0</v>
      </c>
      <c r="G58" s="660">
        <f>F13*Supuestos!G44*Supuestos!G45/360</f>
        <v>0</v>
      </c>
      <c r="H58" s="660">
        <f>G13*Supuestos!H44*Supuestos!H45/360</f>
        <v>0</v>
      </c>
      <c r="I58" s="660">
        <f>H13*Supuestos!I44*Supuestos!I45/360</f>
        <v>0</v>
      </c>
    </row>
    <row r="59" spans="2:16" ht="15" x14ac:dyDescent="0.2">
      <c r="B59" s="588" t="s">
        <v>64</v>
      </c>
      <c r="C59" s="662"/>
      <c r="D59" s="660">
        <f>Costos!D399*Supuestos!D46/360</f>
        <v>0</v>
      </c>
      <c r="E59" s="660">
        <f>Costos!E399*Supuestos!E46/360</f>
        <v>0</v>
      </c>
      <c r="F59" s="660">
        <f>Costos!F399*Supuestos!F46/360</f>
        <v>0</v>
      </c>
      <c r="G59" s="660">
        <f>Costos!G399*Supuestos!G46/360</f>
        <v>0</v>
      </c>
      <c r="H59" s="660">
        <f>Costos!H399*Supuestos!H46/360</f>
        <v>0</v>
      </c>
      <c r="I59" s="660">
        <f>Costos!I399*Supuestos!I46/360</f>
        <v>0</v>
      </c>
    </row>
    <row r="60" spans="2:16" ht="15" x14ac:dyDescent="0.2">
      <c r="B60" s="588" t="s">
        <v>80</v>
      </c>
      <c r="C60" s="662"/>
      <c r="D60" s="660">
        <f>C13*Supuestos!D49</f>
        <v>0</v>
      </c>
      <c r="E60" s="660">
        <f>D13*Supuestos!E49</f>
        <v>0</v>
      </c>
      <c r="F60" s="660">
        <f>E13*Supuestos!F49</f>
        <v>0</v>
      </c>
      <c r="G60" s="660">
        <f>F13*Supuestos!G49</f>
        <v>0</v>
      </c>
      <c r="H60" s="660">
        <f>G13*Supuestos!H49</f>
        <v>0</v>
      </c>
      <c r="I60" s="660">
        <f>H13*Supuestos!I49</f>
        <v>0</v>
      </c>
    </row>
    <row r="61" spans="2:16" ht="15.75" x14ac:dyDescent="0.25">
      <c r="B61" s="582" t="s">
        <v>19</v>
      </c>
      <c r="C61" s="664">
        <f>SUM(C56:C60)</f>
        <v>201753161.67544001</v>
      </c>
      <c r="D61" s="664">
        <f t="shared" ref="D61:I61" si="16">SUM(D55:D60)</f>
        <v>298263092.5829165</v>
      </c>
      <c r="E61" s="664">
        <f t="shared" si="16"/>
        <v>735931982.38802612</v>
      </c>
      <c r="F61" s="664">
        <f t="shared" si="16"/>
        <v>1080020944.3732665</v>
      </c>
      <c r="G61" s="664">
        <f t="shared" si="16"/>
        <v>1470388741.9230623</v>
      </c>
      <c r="H61" s="664">
        <f t="shared" si="16"/>
        <v>1913833971.2543638</v>
      </c>
      <c r="I61" s="664">
        <f t="shared" si="16"/>
        <v>2421782674.7854185</v>
      </c>
    </row>
    <row r="62" spans="2:16" ht="15" x14ac:dyDescent="0.2">
      <c r="B62" s="588"/>
      <c r="C62" s="660"/>
      <c r="D62" s="660"/>
      <c r="E62" s="660"/>
      <c r="F62" s="660"/>
      <c r="G62" s="660"/>
      <c r="H62" s="660"/>
      <c r="I62" s="660"/>
    </row>
    <row r="63" spans="2:16" ht="15" x14ac:dyDescent="0.2">
      <c r="B63" s="588" t="s">
        <v>133</v>
      </c>
      <c r="C63" s="660"/>
      <c r="D63" s="660"/>
      <c r="E63" s="660"/>
      <c r="F63" s="660"/>
      <c r="G63" s="660"/>
      <c r="H63" s="660"/>
      <c r="I63" s="660"/>
    </row>
    <row r="64" spans="2:16" ht="15.75" x14ac:dyDescent="0.25">
      <c r="B64" s="585" t="s">
        <v>152</v>
      </c>
      <c r="C64" s="665">
        <f t="shared" ref="C64:H64" si="17">+C65+C66</f>
        <v>107000000</v>
      </c>
      <c r="D64" s="665">
        <f t="shared" si="17"/>
        <v>85600000</v>
      </c>
      <c r="E64" s="665">
        <f t="shared" si="17"/>
        <v>64200000</v>
      </c>
      <c r="F64" s="665">
        <f t="shared" si="17"/>
        <v>42800000</v>
      </c>
      <c r="G64" s="665">
        <f t="shared" si="17"/>
        <v>21400000</v>
      </c>
      <c r="H64" s="665">
        <f t="shared" si="17"/>
        <v>0</v>
      </c>
      <c r="I64" s="665">
        <f>+I65+I66</f>
        <v>0</v>
      </c>
    </row>
    <row r="65" spans="2:16" ht="15" x14ac:dyDescent="0.2">
      <c r="B65" s="588" t="s">
        <v>67</v>
      </c>
      <c r="C65" s="660">
        <f>+Inversion!E138</f>
        <v>107000000</v>
      </c>
      <c r="D65" s="660">
        <f>+C65</f>
        <v>107000000</v>
      </c>
      <c r="E65" s="660">
        <f>+D65+Inversion!F138</f>
        <v>107000000</v>
      </c>
      <c r="F65" s="660">
        <f>+E65+Inversion!G138</f>
        <v>107000000</v>
      </c>
      <c r="G65" s="660">
        <f>+F65+Inversion!H138</f>
        <v>107000000</v>
      </c>
      <c r="H65" s="660">
        <f>+G65+Inversion!I138</f>
        <v>107000000</v>
      </c>
      <c r="I65" s="660">
        <f>+H65+Inversion!J138</f>
        <v>107000000</v>
      </c>
    </row>
    <row r="66" spans="2:16" ht="15" x14ac:dyDescent="0.2">
      <c r="B66" s="588" t="s">
        <v>117</v>
      </c>
      <c r="C66" s="662"/>
      <c r="D66" s="662">
        <f>-Inversion!E253</f>
        <v>-21400000</v>
      </c>
      <c r="E66" s="662">
        <f>-Inversion!F253</f>
        <v>-42800000</v>
      </c>
      <c r="F66" s="662">
        <f>-Inversion!G253</f>
        <v>-64200000</v>
      </c>
      <c r="G66" s="662">
        <f>-Inversion!H253</f>
        <v>-85600000</v>
      </c>
      <c r="H66" s="662">
        <f>-Inversion!I253</f>
        <v>-107000000</v>
      </c>
      <c r="I66" s="662">
        <f>-Inversion!J253</f>
        <v>-107000000</v>
      </c>
      <c r="J66" s="666"/>
    </row>
    <row r="67" spans="2:16" ht="15.75" x14ac:dyDescent="0.25">
      <c r="B67" s="585" t="s">
        <v>151</v>
      </c>
      <c r="C67" s="667">
        <f t="shared" ref="C67:H67" si="18">C68+C69</f>
        <v>0</v>
      </c>
      <c r="D67" s="667">
        <f>D68+D69</f>
        <v>0</v>
      </c>
      <c r="E67" s="667">
        <f t="shared" si="18"/>
        <v>0</v>
      </c>
      <c r="F67" s="667">
        <f>F68+F69</f>
        <v>0</v>
      </c>
      <c r="G67" s="667">
        <f t="shared" si="18"/>
        <v>0</v>
      </c>
      <c r="H67" s="667">
        <f t="shared" si="18"/>
        <v>0</v>
      </c>
      <c r="I67" s="667">
        <f>I68+I69</f>
        <v>0</v>
      </c>
    </row>
    <row r="68" spans="2:16" ht="15" x14ac:dyDescent="0.2">
      <c r="B68" s="588" t="s">
        <v>134</v>
      </c>
      <c r="C68" s="662">
        <f>+Inversion!K156</f>
        <v>0</v>
      </c>
      <c r="D68" s="663">
        <f>+C68</f>
        <v>0</v>
      </c>
      <c r="E68" s="663">
        <f>+D68+Inversion!L156</f>
        <v>0</v>
      </c>
      <c r="F68" s="663">
        <f>+E68+Inversion!M156</f>
        <v>0</v>
      </c>
      <c r="G68" s="663">
        <f>+F68+Inversion!N156</f>
        <v>0</v>
      </c>
      <c r="H68" s="663">
        <f>+G68+Inversion!O156</f>
        <v>0</v>
      </c>
      <c r="I68" s="663">
        <f>+H68+Inversion!P156</f>
        <v>0</v>
      </c>
    </row>
    <row r="69" spans="2:16" ht="15" x14ac:dyDescent="0.2">
      <c r="B69" s="588" t="s">
        <v>153</v>
      </c>
      <c r="C69" s="662"/>
      <c r="D69" s="662">
        <f>-Inversion!E317</f>
        <v>0</v>
      </c>
      <c r="E69" s="662">
        <f>-Inversion!F317</f>
        <v>0</v>
      </c>
      <c r="F69" s="662">
        <f>-Inversion!G317</f>
        <v>0</v>
      </c>
      <c r="G69" s="662">
        <f>-Inversion!H317</f>
        <v>0</v>
      </c>
      <c r="H69" s="662">
        <f>-Inversion!I317</f>
        <v>0</v>
      </c>
      <c r="I69" s="662">
        <f>-Inversion!J317</f>
        <v>0</v>
      </c>
    </row>
    <row r="70" spans="2:16" ht="15.75" x14ac:dyDescent="0.25">
      <c r="B70" s="585" t="s">
        <v>20</v>
      </c>
      <c r="C70" s="667">
        <f>C71+C72</f>
        <v>276500</v>
      </c>
      <c r="D70" s="667">
        <f t="shared" ref="D70:I70" si="19">+D71+D72</f>
        <v>221200</v>
      </c>
      <c r="E70" s="667">
        <f t="shared" si="19"/>
        <v>165900</v>
      </c>
      <c r="F70" s="667">
        <f t="shared" si="19"/>
        <v>110600</v>
      </c>
      <c r="G70" s="667">
        <f t="shared" si="19"/>
        <v>55300</v>
      </c>
      <c r="H70" s="667">
        <f t="shared" si="19"/>
        <v>0</v>
      </c>
      <c r="I70" s="667">
        <f t="shared" si="19"/>
        <v>0</v>
      </c>
    </row>
    <row r="71" spans="2:16" ht="15" x14ac:dyDescent="0.2">
      <c r="B71" s="588" t="s">
        <v>20</v>
      </c>
      <c r="C71" s="662">
        <f>Inversion!K168</f>
        <v>276500</v>
      </c>
      <c r="D71" s="662">
        <f>C71</f>
        <v>276500</v>
      </c>
      <c r="E71" s="662">
        <f>D71+Inversion!L168</f>
        <v>276500</v>
      </c>
      <c r="F71" s="662">
        <f>E71+Inversion!M168</f>
        <v>276500</v>
      </c>
      <c r="G71" s="662">
        <f>F71+Inversion!N168</f>
        <v>276500</v>
      </c>
      <c r="H71" s="662">
        <f>G71+Inversion!O168</f>
        <v>276500</v>
      </c>
      <c r="I71" s="662">
        <f>H71+Inversion!P168</f>
        <v>276500</v>
      </c>
    </row>
    <row r="72" spans="2:16" ht="15" x14ac:dyDescent="0.2">
      <c r="B72" s="588" t="s">
        <v>154</v>
      </c>
      <c r="C72" s="662"/>
      <c r="D72" s="662">
        <f>-Inversion!E378</f>
        <v>-55300</v>
      </c>
      <c r="E72" s="662">
        <f>-Inversion!F378</f>
        <v>-110600</v>
      </c>
      <c r="F72" s="662">
        <f>-Inversion!G378</f>
        <v>-165900</v>
      </c>
      <c r="G72" s="662">
        <f>-Inversion!H378</f>
        <v>-221200</v>
      </c>
      <c r="H72" s="662">
        <f>-Inversion!I378</f>
        <v>-276500</v>
      </c>
      <c r="I72" s="662">
        <f>-Inversion!J378</f>
        <v>-276500</v>
      </c>
    </row>
    <row r="73" spans="2:16" ht="15.75" x14ac:dyDescent="0.25">
      <c r="B73" s="582" t="s">
        <v>21</v>
      </c>
      <c r="C73" s="664">
        <f t="shared" ref="C73:H73" si="20">C64+C67+C70</f>
        <v>107276500</v>
      </c>
      <c r="D73" s="664">
        <f t="shared" si="20"/>
        <v>85821200</v>
      </c>
      <c r="E73" s="664">
        <f t="shared" si="20"/>
        <v>64365900</v>
      </c>
      <c r="F73" s="664">
        <f t="shared" si="20"/>
        <v>42910600</v>
      </c>
      <c r="G73" s="664">
        <f t="shared" si="20"/>
        <v>21455300</v>
      </c>
      <c r="H73" s="664">
        <f t="shared" si="20"/>
        <v>0</v>
      </c>
      <c r="I73" s="664">
        <f>I64+I67+I70</f>
        <v>0</v>
      </c>
    </row>
    <row r="74" spans="2:16" ht="15.75" x14ac:dyDescent="0.25">
      <c r="B74" s="582" t="s">
        <v>22</v>
      </c>
      <c r="C74" s="664">
        <f t="shared" ref="C74:I74" si="21">C73+C61</f>
        <v>309029661.67544001</v>
      </c>
      <c r="D74" s="664">
        <f t="shared" si="21"/>
        <v>384084292.5829165</v>
      </c>
      <c r="E74" s="664">
        <f t="shared" si="21"/>
        <v>800297882.38802612</v>
      </c>
      <c r="F74" s="664">
        <f t="shared" si="21"/>
        <v>1122931544.3732665</v>
      </c>
      <c r="G74" s="664">
        <f t="shared" si="21"/>
        <v>1491844041.9230623</v>
      </c>
      <c r="H74" s="664">
        <f t="shared" si="21"/>
        <v>1913833971.2543638</v>
      </c>
      <c r="I74" s="664">
        <f t="shared" si="21"/>
        <v>2421782674.7854185</v>
      </c>
    </row>
    <row r="75" spans="2:16" s="12" customFormat="1" ht="15" x14ac:dyDescent="0.2">
      <c r="B75" s="668"/>
      <c r="C75" s="669"/>
      <c r="D75" s="669"/>
      <c r="E75" s="669"/>
      <c r="F75" s="669"/>
      <c r="G75" s="669"/>
      <c r="H75" s="669"/>
      <c r="I75" s="669"/>
      <c r="J75" s="670"/>
      <c r="K75" s="671"/>
      <c r="L75" s="671"/>
      <c r="M75" s="671"/>
      <c r="N75" s="671"/>
      <c r="O75" s="671"/>
      <c r="P75" s="671"/>
    </row>
    <row r="76" spans="2:16" s="5" customFormat="1" ht="15.75" x14ac:dyDescent="0.25">
      <c r="B76" s="585" t="s">
        <v>23</v>
      </c>
      <c r="C76" s="665"/>
      <c r="D76" s="665"/>
      <c r="E76" s="665"/>
      <c r="F76" s="665"/>
      <c r="G76" s="665"/>
      <c r="H76" s="665"/>
      <c r="I76" s="665"/>
      <c r="J76" s="45"/>
      <c r="K76" s="45"/>
      <c r="L76" s="45"/>
      <c r="M76" s="45"/>
      <c r="N76" s="45"/>
      <c r="O76" s="45"/>
      <c r="P76" s="45"/>
    </row>
    <row r="77" spans="2:16" ht="15" x14ac:dyDescent="0.2">
      <c r="B77" s="588" t="s">
        <v>210</v>
      </c>
      <c r="C77" s="660">
        <v>0</v>
      </c>
      <c r="D77" s="660">
        <v>0</v>
      </c>
      <c r="E77" s="660">
        <v>0</v>
      </c>
      <c r="F77" s="660">
        <v>0</v>
      </c>
      <c r="G77" s="660">
        <v>0</v>
      </c>
      <c r="H77" s="660">
        <v>0</v>
      </c>
      <c r="I77" s="660">
        <v>0</v>
      </c>
    </row>
    <row r="78" spans="2:16" ht="15" x14ac:dyDescent="0.2">
      <c r="B78" s="588" t="s">
        <v>135</v>
      </c>
      <c r="C78" s="660">
        <v>0</v>
      </c>
      <c r="D78" s="660">
        <f>Costos!D399*Supuestos!D47/360</f>
        <v>0</v>
      </c>
      <c r="E78" s="660">
        <f>Costos!E399*Supuestos!E47/360</f>
        <v>0</v>
      </c>
      <c r="F78" s="660">
        <f>Costos!F399*Supuestos!F47/360</f>
        <v>0</v>
      </c>
      <c r="G78" s="660">
        <f>Costos!G399*Supuestos!G47/360</f>
        <v>0</v>
      </c>
      <c r="H78" s="660">
        <f>Costos!H399*Supuestos!H47/360</f>
        <v>0</v>
      </c>
      <c r="I78" s="660">
        <f>Costos!I399*Supuestos!I47/360</f>
        <v>0</v>
      </c>
      <c r="J78" s="672">
        <f>-D78</f>
        <v>0</v>
      </c>
      <c r="K78" s="672">
        <f>-E78</f>
        <v>0</v>
      </c>
      <c r="L78" s="672">
        <f>-F78</f>
        <v>0</v>
      </c>
      <c r="M78" s="672">
        <f>-G78</f>
        <v>0</v>
      </c>
      <c r="N78" s="672">
        <f>-H78</f>
        <v>0</v>
      </c>
      <c r="O78" s="673"/>
    </row>
    <row r="79" spans="2:16" ht="15" x14ac:dyDescent="0.2">
      <c r="B79" s="588" t="s">
        <v>136</v>
      </c>
      <c r="C79" s="660">
        <v>0</v>
      </c>
      <c r="D79" s="674">
        <f t="shared" ref="D79:I79" si="22">+C35</f>
        <v>49290496.474686593</v>
      </c>
      <c r="E79" s="674">
        <f t="shared" si="22"/>
        <v>205470278.62361452</v>
      </c>
      <c r="F79" s="674">
        <f t="shared" si="22"/>
        <v>230510220.35523808</v>
      </c>
      <c r="G79" s="674">
        <f t="shared" si="22"/>
        <v>259037731.27370951</v>
      </c>
      <c r="H79" s="674">
        <f t="shared" si="22"/>
        <v>291679708.35370034</v>
      </c>
      <c r="I79" s="674">
        <f t="shared" si="22"/>
        <v>339120008.86559814</v>
      </c>
    </row>
    <row r="80" spans="2:16" ht="15" x14ac:dyDescent="0.2">
      <c r="B80" s="588" t="s">
        <v>137</v>
      </c>
      <c r="C80" s="660">
        <v>0</v>
      </c>
      <c r="D80" s="660">
        <f>Costos!D399*Supuestos!D50</f>
        <v>0</v>
      </c>
      <c r="E80" s="660">
        <f>Costos!E399*Supuestos!E50</f>
        <v>0</v>
      </c>
      <c r="F80" s="660">
        <f>Costos!F399*Supuestos!F50</f>
        <v>0</v>
      </c>
      <c r="G80" s="660">
        <f>Costos!G399*Supuestos!G50</f>
        <v>0</v>
      </c>
      <c r="H80" s="660">
        <f>Costos!H399*Supuestos!H50</f>
        <v>0</v>
      </c>
      <c r="I80" s="660">
        <f>Costos!I399*Supuestos!I50</f>
        <v>0</v>
      </c>
    </row>
    <row r="81" spans="2:16" ht="15" x14ac:dyDescent="0.2">
      <c r="B81" s="588"/>
      <c r="C81" s="660"/>
      <c r="D81" s="660"/>
      <c r="E81" s="660"/>
      <c r="F81" s="660"/>
      <c r="G81" s="660"/>
      <c r="H81" s="660"/>
      <c r="I81" s="660"/>
    </row>
    <row r="82" spans="2:16" ht="15.75" x14ac:dyDescent="0.25">
      <c r="B82" s="582" t="s">
        <v>66</v>
      </c>
      <c r="C82" s="664">
        <f t="shared" ref="C82:H82" si="23">SUM(C77:C80)</f>
        <v>0</v>
      </c>
      <c r="D82" s="664">
        <f t="shared" si="23"/>
        <v>49290496.474686593</v>
      </c>
      <c r="E82" s="664">
        <f t="shared" si="23"/>
        <v>205470278.62361452</v>
      </c>
      <c r="F82" s="664">
        <f t="shared" si="23"/>
        <v>230510220.35523808</v>
      </c>
      <c r="G82" s="664">
        <f t="shared" si="23"/>
        <v>259037731.27370951</v>
      </c>
      <c r="H82" s="664">
        <f t="shared" si="23"/>
        <v>291679708.35370034</v>
      </c>
      <c r="I82" s="664">
        <f>SUM(I77:I80)</f>
        <v>339120008.86559814</v>
      </c>
    </row>
    <row r="83" spans="2:16" ht="15" x14ac:dyDescent="0.2">
      <c r="B83" s="588"/>
      <c r="C83" s="660"/>
      <c r="D83" s="660"/>
      <c r="E83" s="660"/>
      <c r="F83" s="660"/>
      <c r="G83" s="660"/>
      <c r="H83" s="660"/>
      <c r="I83" s="660"/>
    </row>
    <row r="84" spans="2:16" ht="15" x14ac:dyDescent="0.2">
      <c r="B84" s="588" t="s">
        <v>211</v>
      </c>
      <c r="C84" s="662">
        <f>Creditos!G41</f>
        <v>289029661.67544001</v>
      </c>
      <c r="D84" s="662">
        <f>+Creditos!G53</f>
        <v>240858051.39620012</v>
      </c>
      <c r="E84" s="662">
        <f>+Creditos!G65</f>
        <v>192686441.11696023</v>
      </c>
      <c r="F84" s="662">
        <f>+Creditos!G77</f>
        <v>144514830.83772033</v>
      </c>
      <c r="G84" s="662">
        <f>+Creditos!G89</f>
        <v>96343220.558480293</v>
      </c>
      <c r="H84" s="662">
        <f>+Creditos!G101</f>
        <v>48171610.279240258</v>
      </c>
      <c r="I84" s="662">
        <f>+Creditos!G113</f>
        <v>2.6635825634002686E-7</v>
      </c>
    </row>
    <row r="85" spans="2:16" ht="15.75" x14ac:dyDescent="0.25">
      <c r="B85" s="582" t="s">
        <v>24</v>
      </c>
      <c r="C85" s="664">
        <f t="shared" ref="C85:I85" si="24">C82+C84</f>
        <v>289029661.67544001</v>
      </c>
      <c r="D85" s="664">
        <f t="shared" si="24"/>
        <v>290148547.87088668</v>
      </c>
      <c r="E85" s="664">
        <f t="shared" si="24"/>
        <v>398156719.74057472</v>
      </c>
      <c r="F85" s="664">
        <f t="shared" si="24"/>
        <v>375025051.19295841</v>
      </c>
      <c r="G85" s="664">
        <f t="shared" si="24"/>
        <v>355380951.8321898</v>
      </c>
      <c r="H85" s="664">
        <f t="shared" si="24"/>
        <v>339851318.63294059</v>
      </c>
      <c r="I85" s="664">
        <f t="shared" si="24"/>
        <v>339120008.86559838</v>
      </c>
    </row>
    <row r="86" spans="2:16" ht="15" x14ac:dyDescent="0.2">
      <c r="B86" s="588"/>
      <c r="C86" s="660"/>
      <c r="D86" s="660"/>
      <c r="E86" s="660"/>
      <c r="F86" s="660"/>
      <c r="G86" s="660"/>
      <c r="H86" s="660"/>
      <c r="I86" s="660"/>
    </row>
    <row r="87" spans="2:16" s="5" customFormat="1" ht="15.75" x14ac:dyDescent="0.25">
      <c r="B87" s="585" t="s">
        <v>25</v>
      </c>
      <c r="C87" s="665"/>
      <c r="D87" s="665"/>
      <c r="E87" s="665"/>
      <c r="F87" s="665"/>
      <c r="G87" s="665"/>
      <c r="H87" s="665"/>
      <c r="I87" s="665"/>
      <c r="J87" s="45"/>
      <c r="K87" s="45"/>
      <c r="L87" s="45"/>
      <c r="M87" s="45"/>
      <c r="N87" s="45"/>
      <c r="O87" s="45"/>
      <c r="P87" s="45"/>
    </row>
    <row r="88" spans="2:16" ht="15" x14ac:dyDescent="0.2">
      <c r="B88" s="588" t="s">
        <v>8</v>
      </c>
      <c r="C88" s="660">
        <f>Creditos!F12+Creditos!F13</f>
        <v>20000000</v>
      </c>
      <c r="D88" s="660">
        <f>$C$88</f>
        <v>20000000</v>
      </c>
      <c r="E88" s="660">
        <f>+D88</f>
        <v>20000000</v>
      </c>
      <c r="F88" s="660">
        <f>+E88</f>
        <v>20000000</v>
      </c>
      <c r="G88" s="660">
        <f>+F88</f>
        <v>20000000</v>
      </c>
      <c r="H88" s="660">
        <f>+G88</f>
        <v>20000000</v>
      </c>
      <c r="I88" s="660">
        <f>+H88</f>
        <v>20000000</v>
      </c>
    </row>
    <row r="89" spans="2:16" s="13" customFormat="1" ht="15" x14ac:dyDescent="0.2">
      <c r="B89" s="675" t="s">
        <v>26</v>
      </c>
      <c r="C89" s="669">
        <v>0</v>
      </c>
      <c r="D89" s="669">
        <f t="shared" ref="D89:I89" si="25">C38</f>
        <v>0</v>
      </c>
      <c r="E89" s="669">
        <f t="shared" si="25"/>
        <v>0</v>
      </c>
      <c r="F89" s="669">
        <f t="shared" si="25"/>
        <v>0</v>
      </c>
      <c r="G89" s="669">
        <f t="shared" si="25"/>
        <v>0</v>
      </c>
      <c r="H89" s="669">
        <f t="shared" si="25"/>
        <v>0</v>
      </c>
      <c r="I89" s="669">
        <f t="shared" si="25"/>
        <v>0</v>
      </c>
      <c r="J89" s="676"/>
      <c r="K89" s="676"/>
      <c r="L89" s="676"/>
      <c r="M89" s="676"/>
      <c r="N89" s="676"/>
      <c r="O89" s="676"/>
      <c r="P89" s="676"/>
    </row>
    <row r="90" spans="2:16" s="13" customFormat="1" ht="15" x14ac:dyDescent="0.2">
      <c r="B90" s="675" t="s">
        <v>138</v>
      </c>
      <c r="C90" s="669">
        <v>0</v>
      </c>
      <c r="D90" s="669">
        <f>+C89</f>
        <v>0</v>
      </c>
      <c r="E90" s="669">
        <f>+D89+D90</f>
        <v>0</v>
      </c>
      <c r="F90" s="669">
        <f>+E89+E90</f>
        <v>0</v>
      </c>
      <c r="G90" s="669">
        <f>+F89+F90</f>
        <v>0</v>
      </c>
      <c r="H90" s="669">
        <f>+G89+G90</f>
        <v>0</v>
      </c>
      <c r="I90" s="669">
        <f>+H89+H90</f>
        <v>0</v>
      </c>
      <c r="J90" s="676"/>
      <c r="K90" s="676"/>
      <c r="L90" s="676"/>
      <c r="M90" s="676"/>
      <c r="N90" s="676"/>
      <c r="O90" s="676"/>
      <c r="P90" s="676"/>
    </row>
    <row r="91" spans="2:16" ht="15" x14ac:dyDescent="0.2">
      <c r="B91" s="588" t="s">
        <v>139</v>
      </c>
      <c r="C91" s="660">
        <v>0</v>
      </c>
      <c r="D91" s="660">
        <f>C91</f>
        <v>0</v>
      </c>
      <c r="E91" s="660">
        <f>D91+D92</f>
        <v>73935744.712029874</v>
      </c>
      <c r="F91" s="660">
        <f>E91+E92</f>
        <v>382141162.64745158</v>
      </c>
      <c r="G91" s="660">
        <f>F91+F92</f>
        <v>727906493.18030858</v>
      </c>
      <c r="H91" s="660">
        <f>G91+G92</f>
        <v>1116463090.0908728</v>
      </c>
      <c r="I91" s="660">
        <f>H91+H92</f>
        <v>1553982652.6214232</v>
      </c>
      <c r="J91" s="666"/>
    </row>
    <row r="92" spans="2:16" ht="15" x14ac:dyDescent="0.2">
      <c r="B92" s="588" t="s">
        <v>140</v>
      </c>
      <c r="C92" s="660">
        <f>0+C89</f>
        <v>0</v>
      </c>
      <c r="D92" s="669">
        <f t="shared" ref="D92:I92" si="26">C39</f>
        <v>73935744.712029874</v>
      </c>
      <c r="E92" s="669">
        <f t="shared" si="26"/>
        <v>308205417.93542171</v>
      </c>
      <c r="F92" s="669">
        <f t="shared" si="26"/>
        <v>345765330.53285706</v>
      </c>
      <c r="G92" s="669">
        <f t="shared" si="26"/>
        <v>388556596.91056418</v>
      </c>
      <c r="H92" s="669">
        <f t="shared" si="26"/>
        <v>437519562.53055054</v>
      </c>
      <c r="I92" s="669">
        <f t="shared" si="26"/>
        <v>508680013.29839712</v>
      </c>
      <c r="J92" s="666"/>
    </row>
    <row r="93" spans="2:16" ht="15.75" x14ac:dyDescent="0.25">
      <c r="B93" s="582" t="s">
        <v>27</v>
      </c>
      <c r="C93" s="664">
        <f>SUM(C88:C92)-C89</f>
        <v>20000000</v>
      </c>
      <c r="D93" s="664">
        <f t="shared" ref="D93:I93" si="27">SUM(D88:D92)</f>
        <v>93935744.712029874</v>
      </c>
      <c r="E93" s="664">
        <f t="shared" si="27"/>
        <v>402141162.64745158</v>
      </c>
      <c r="F93" s="664">
        <f t="shared" si="27"/>
        <v>747906493.18030858</v>
      </c>
      <c r="G93" s="664">
        <f t="shared" si="27"/>
        <v>1136463090.0908728</v>
      </c>
      <c r="H93" s="664">
        <f t="shared" si="27"/>
        <v>1573982652.6214232</v>
      </c>
      <c r="I93" s="664">
        <f t="shared" si="27"/>
        <v>2082662665.9198203</v>
      </c>
      <c r="J93" s="666"/>
    </row>
    <row r="94" spans="2:16" ht="15.75" x14ac:dyDescent="0.25">
      <c r="B94" s="585"/>
      <c r="C94" s="660"/>
      <c r="D94" s="660"/>
      <c r="E94" s="660"/>
      <c r="F94" s="660"/>
      <c r="G94" s="660"/>
      <c r="H94" s="660"/>
      <c r="I94" s="660"/>
      <c r="J94" s="666"/>
    </row>
    <row r="95" spans="2:16" ht="15.75" x14ac:dyDescent="0.25">
      <c r="B95" s="582" t="s">
        <v>28</v>
      </c>
      <c r="C95" s="664">
        <f t="shared" ref="C95:H95" si="28">C85+C93</f>
        <v>309029661.67544001</v>
      </c>
      <c r="D95" s="664">
        <f t="shared" si="28"/>
        <v>384084292.58291656</v>
      </c>
      <c r="E95" s="664">
        <f t="shared" si="28"/>
        <v>800297882.38802624</v>
      </c>
      <c r="F95" s="664">
        <f t="shared" si="28"/>
        <v>1122931544.3732669</v>
      </c>
      <c r="G95" s="664">
        <f t="shared" si="28"/>
        <v>1491844041.9230626</v>
      </c>
      <c r="H95" s="664">
        <f t="shared" si="28"/>
        <v>1913833971.2543638</v>
      </c>
      <c r="I95" s="664">
        <f>I85+I93</f>
        <v>2421782674.7854185</v>
      </c>
    </row>
    <row r="96" spans="2:16" s="13" customFormat="1" x14ac:dyDescent="0.2">
      <c r="B96" s="677" t="s">
        <v>65</v>
      </c>
      <c r="C96" s="678">
        <f>+C74-C95</f>
        <v>0</v>
      </c>
      <c r="D96" s="678">
        <f t="shared" ref="D96:I96" si="29">+D74-D95</f>
        <v>0</v>
      </c>
      <c r="E96" s="678">
        <f t="shared" si="29"/>
        <v>0</v>
      </c>
      <c r="F96" s="678">
        <f t="shared" si="29"/>
        <v>0</v>
      </c>
      <c r="G96" s="678">
        <f t="shared" si="29"/>
        <v>0</v>
      </c>
      <c r="H96" s="678">
        <f t="shared" si="29"/>
        <v>0</v>
      </c>
      <c r="I96" s="678">
        <f t="shared" si="29"/>
        <v>0</v>
      </c>
      <c r="J96" s="676"/>
      <c r="K96" s="676"/>
      <c r="L96" s="676"/>
      <c r="M96" s="676"/>
      <c r="N96" s="676"/>
      <c r="O96" s="676"/>
      <c r="P96" s="676"/>
    </row>
    <row r="97" spans="2:16" s="13" customFormat="1" x14ac:dyDescent="0.2">
      <c r="B97" s="677"/>
      <c r="C97" s="679"/>
      <c r="D97" s="679"/>
      <c r="E97" s="679"/>
      <c r="F97" s="679"/>
      <c r="G97" s="679"/>
      <c r="H97" s="679"/>
      <c r="I97" s="676"/>
      <c r="J97" s="676"/>
      <c r="K97" s="676"/>
      <c r="L97" s="676"/>
      <c r="M97" s="676"/>
      <c r="N97" s="676"/>
      <c r="O97" s="676"/>
      <c r="P97" s="676"/>
    </row>
    <row r="98" spans="2:16" x14ac:dyDescent="0.2">
      <c r="C98" s="618"/>
      <c r="D98" s="618"/>
      <c r="E98" s="618"/>
      <c r="F98" s="618"/>
      <c r="G98" s="618"/>
      <c r="H98" s="618"/>
    </row>
    <row r="99" spans="2:16" ht="15.75" x14ac:dyDescent="0.25">
      <c r="B99" s="680" t="s">
        <v>384</v>
      </c>
      <c r="C99" s="681" t="s">
        <v>325</v>
      </c>
      <c r="D99" s="681" t="s">
        <v>326</v>
      </c>
      <c r="E99" s="681" t="s">
        <v>327</v>
      </c>
      <c r="F99" s="681" t="s">
        <v>328</v>
      </c>
      <c r="G99" s="681" t="s">
        <v>329</v>
      </c>
      <c r="H99" s="681" t="s">
        <v>393</v>
      </c>
    </row>
    <row r="100" spans="2:16" ht="15" x14ac:dyDescent="0.2">
      <c r="B100" s="682" t="s">
        <v>385</v>
      </c>
      <c r="C100" s="683">
        <f>D61/D82</f>
        <v>6.0511277815205444</v>
      </c>
      <c r="D100" s="683">
        <f t="shared" ref="D100:H100" si="30">E61/E82</f>
        <v>3.5816955489515072</v>
      </c>
      <c r="E100" s="683">
        <f t="shared" si="30"/>
        <v>4.6853494943037752</v>
      </c>
      <c r="F100" s="683">
        <f t="shared" si="30"/>
        <v>5.6763496757520295</v>
      </c>
      <c r="G100" s="683">
        <f t="shared" si="30"/>
        <v>6.5614230830674938</v>
      </c>
      <c r="H100" s="683">
        <f t="shared" si="30"/>
        <v>7.1413735889150454</v>
      </c>
    </row>
    <row r="101" spans="2:16" ht="15" x14ac:dyDescent="0.2">
      <c r="B101" s="682" t="s">
        <v>386</v>
      </c>
      <c r="C101" s="683">
        <f t="shared" ref="C101:H101" si="31">(D61-D59)/D82</f>
        <v>6.0511277815205444</v>
      </c>
      <c r="D101" s="683">
        <f t="shared" si="31"/>
        <v>3.5816955489515072</v>
      </c>
      <c r="E101" s="683">
        <f t="shared" si="31"/>
        <v>4.6853494943037752</v>
      </c>
      <c r="F101" s="683">
        <f t="shared" si="31"/>
        <v>5.6763496757520295</v>
      </c>
      <c r="G101" s="683">
        <f t="shared" si="31"/>
        <v>6.5614230830674938</v>
      </c>
      <c r="H101" s="683">
        <f t="shared" si="31"/>
        <v>7.1413735889150454</v>
      </c>
    </row>
    <row r="102" spans="2:16" ht="15" x14ac:dyDescent="0.2">
      <c r="B102" s="682" t="s">
        <v>387</v>
      </c>
      <c r="C102" s="684">
        <f>C15/C13</f>
        <v>0.29858839407263038</v>
      </c>
      <c r="D102" s="684">
        <f t="shared" ref="D102:H102" si="32">D15/D13</f>
        <v>0.47212510440252742</v>
      </c>
      <c r="E102" s="684">
        <f t="shared" si="32"/>
        <v>0.47422731860428879</v>
      </c>
      <c r="F102" s="684">
        <f t="shared" si="32"/>
        <v>0.47628391997676861</v>
      </c>
      <c r="G102" s="684">
        <f t="shared" si="32"/>
        <v>0.47829949974969471</v>
      </c>
      <c r="H102" s="684">
        <f t="shared" si="32"/>
        <v>0.47995338002688065</v>
      </c>
    </row>
    <row r="103" spans="2:16" ht="15" x14ac:dyDescent="0.2">
      <c r="B103" s="682" t="s">
        <v>388</v>
      </c>
      <c r="C103" s="684">
        <f t="shared" ref="C103:H103" si="33">C18/C13</f>
        <v>0.12412856108407019</v>
      </c>
      <c r="D103" s="684">
        <f t="shared" si="33"/>
        <v>0.35290606243943151</v>
      </c>
      <c r="E103" s="684">
        <f t="shared" si="33"/>
        <v>0.35924070288457266</v>
      </c>
      <c r="F103" s="684">
        <f t="shared" si="33"/>
        <v>0.36538137336889359</v>
      </c>
      <c r="G103" s="684">
        <f t="shared" si="33"/>
        <v>0.37133663786602294</v>
      </c>
      <c r="H103" s="684">
        <f t="shared" si="33"/>
        <v>0.37679117341721469</v>
      </c>
    </row>
    <row r="104" spans="2:16" ht="15" x14ac:dyDescent="0.2">
      <c r="B104" s="682" t="s">
        <v>389</v>
      </c>
      <c r="C104" s="684">
        <f t="shared" ref="C104:H104" si="34">C36/C13</f>
        <v>4.923399096828409E-2</v>
      </c>
      <c r="D104" s="684">
        <f t="shared" si="34"/>
        <v>0.19104596135370397</v>
      </c>
      <c r="E104" s="684">
        <f t="shared" si="34"/>
        <v>0.19893263527978525</v>
      </c>
      <c r="F104" s="684">
        <f t="shared" si="34"/>
        <v>0.2062977275153729</v>
      </c>
      <c r="G104" s="684">
        <f t="shared" si="34"/>
        <v>0.21313798222656041</v>
      </c>
      <c r="H104" s="684">
        <f t="shared" si="34"/>
        <v>0.22607470405032878</v>
      </c>
    </row>
    <row r="105" spans="2:16" ht="15" x14ac:dyDescent="0.2">
      <c r="B105" s="682" t="s">
        <v>390</v>
      </c>
      <c r="C105" s="684">
        <f t="shared" ref="C105:H105" si="35">C36/D74</f>
        <v>0.19249874608206882</v>
      </c>
      <c r="D105" s="684">
        <f t="shared" si="35"/>
        <v>0.38511337430477877</v>
      </c>
      <c r="E105" s="684">
        <f t="shared" si="35"/>
        <v>0.30791309787796239</v>
      </c>
      <c r="F105" s="684">
        <f t="shared" si="35"/>
        <v>0.26045389865933649</v>
      </c>
      <c r="G105" s="684">
        <f t="shared" si="35"/>
        <v>0.22860894367121709</v>
      </c>
      <c r="H105" s="684">
        <f t="shared" si="35"/>
        <v>0.21004362554681691</v>
      </c>
    </row>
    <row r="106" spans="2:16" ht="15" x14ac:dyDescent="0.2">
      <c r="B106" s="682" t="s">
        <v>391</v>
      </c>
      <c r="C106" s="684">
        <f>C36/D93</f>
        <v>0.78708850330284652</v>
      </c>
      <c r="D106" s="684">
        <f t="shared" ref="D106:H106" si="36">D36/E93</f>
        <v>0.76641101822649949</v>
      </c>
      <c r="E106" s="684">
        <f t="shared" si="36"/>
        <v>0.46231090876423031</v>
      </c>
      <c r="F106" s="684">
        <f t="shared" si="36"/>
        <v>0.34189988244976333</v>
      </c>
      <c r="G106" s="684">
        <f t="shared" si="36"/>
        <v>0.27796974877828173</v>
      </c>
      <c r="H106" s="684">
        <f t="shared" si="36"/>
        <v>0.24424503383208032</v>
      </c>
    </row>
    <row r="107" spans="2:16" ht="15" x14ac:dyDescent="0.2">
      <c r="B107" s="682" t="s">
        <v>392</v>
      </c>
      <c r="C107" s="685">
        <f>C22+C21+C20+C24-C25</f>
        <v>186406533.84560016</v>
      </c>
      <c r="D107" s="685">
        <f t="shared" ref="D107:H107" si="37">D22+D21+D20+D24-D25</f>
        <v>569326667.23436201</v>
      </c>
      <c r="E107" s="685">
        <f t="shared" si="37"/>
        <v>624397199.57986295</v>
      </c>
      <c r="F107" s="685">
        <f t="shared" si="37"/>
        <v>688186654.89248359</v>
      </c>
      <c r="G107" s="685">
        <f t="shared" si="37"/>
        <v>762262275.60890281</v>
      </c>
      <c r="H107" s="685">
        <f t="shared" si="37"/>
        <v>847800022.16399527</v>
      </c>
    </row>
    <row r="108" spans="2:16" x14ac:dyDescent="0.2">
      <c r="B108" s="742" t="s">
        <v>522</v>
      </c>
      <c r="C108" s="743">
        <f t="shared" ref="C108:H108" si="38">+C107/C13</f>
        <v>0.12412856108407019</v>
      </c>
      <c r="D108" s="743">
        <f t="shared" si="38"/>
        <v>0.35290606243943151</v>
      </c>
      <c r="E108" s="743">
        <f t="shared" si="38"/>
        <v>0.35924070288457266</v>
      </c>
      <c r="F108" s="743">
        <f t="shared" si="38"/>
        <v>0.36538137336889359</v>
      </c>
      <c r="G108" s="743">
        <f t="shared" si="38"/>
        <v>0.37133663786602294</v>
      </c>
      <c r="H108" s="743">
        <f t="shared" si="38"/>
        <v>0.37679117341721469</v>
      </c>
    </row>
    <row r="109" spans="2:16" x14ac:dyDescent="0.2">
      <c r="B109" s="742" t="s">
        <v>523</v>
      </c>
      <c r="C109" s="744">
        <f>+C39/C74</f>
        <v>0.23925128840765217</v>
      </c>
      <c r="D109" s="744">
        <f t="shared" ref="D109:H109" si="39">+D39/D74</f>
        <v>0.80244213024901567</v>
      </c>
      <c r="E109" s="744">
        <f t="shared" si="39"/>
        <v>0.43204578962663304</v>
      </c>
      <c r="F109" s="744">
        <f t="shared" si="39"/>
        <v>0.34601984320195261</v>
      </c>
      <c r="G109" s="744">
        <f t="shared" si="39"/>
        <v>0.29327433044982754</v>
      </c>
      <c r="H109" s="744">
        <f t="shared" si="39"/>
        <v>0.26579108790978268</v>
      </c>
    </row>
    <row r="110" spans="2:16" x14ac:dyDescent="0.2">
      <c r="B110" s="742" t="s">
        <v>524</v>
      </c>
      <c r="C110" s="744">
        <f>+C36/C93</f>
        <v>3.6967872356014939</v>
      </c>
      <c r="D110" s="744">
        <f t="shared" ref="D110:H110" si="40">+D36/D93</f>
        <v>3.2810238411401174</v>
      </c>
      <c r="E110" s="744">
        <f t="shared" si="40"/>
        <v>0.85981083920021883</v>
      </c>
      <c r="F110" s="744">
        <f t="shared" si="40"/>
        <v>0.51952563649810335</v>
      </c>
      <c r="G110" s="744">
        <f t="shared" si="40"/>
        <v>0.38498352154627918</v>
      </c>
      <c r="H110" s="744">
        <f t="shared" si="40"/>
        <v>0.32318019036055134</v>
      </c>
      <c r="I110" s="686"/>
    </row>
    <row r="111" spans="2:16" x14ac:dyDescent="0.2">
      <c r="B111" s="742" t="s">
        <v>527</v>
      </c>
      <c r="C111" s="747">
        <f>+C39/C13</f>
        <v>4.923399096828409E-2</v>
      </c>
      <c r="D111" s="747">
        <f t="shared" ref="D111:H111" si="41">+D39/D13</f>
        <v>0.19104596135370397</v>
      </c>
      <c r="E111" s="747">
        <f t="shared" si="41"/>
        <v>0.19893263527978525</v>
      </c>
      <c r="F111" s="747">
        <f t="shared" si="41"/>
        <v>0.2062977275153729</v>
      </c>
      <c r="G111" s="747">
        <f t="shared" si="41"/>
        <v>0.21313798222656041</v>
      </c>
      <c r="H111" s="747">
        <f t="shared" si="41"/>
        <v>0.22607470405032878</v>
      </c>
    </row>
    <row r="112" spans="2:16" x14ac:dyDescent="0.2">
      <c r="B112" s="742" t="s">
        <v>528</v>
      </c>
      <c r="C112" s="747">
        <f>+C22/D74</f>
        <v>0.42946623184281957</v>
      </c>
      <c r="D112" s="747">
        <f t="shared" ref="D112:H112" si="42">+D22/E74</f>
        <v>0.68458430203458343</v>
      </c>
      <c r="E112" s="747">
        <f t="shared" si="42"/>
        <v>0.53693557955607929</v>
      </c>
      <c r="F112" s="747">
        <f t="shared" si="42"/>
        <v>0.44691759738707887</v>
      </c>
      <c r="G112" s="747">
        <f t="shared" si="42"/>
        <v>0.38708006375462317</v>
      </c>
      <c r="H112" s="747">
        <f t="shared" si="42"/>
        <v>0.35007270924469486</v>
      </c>
    </row>
    <row r="113" spans="2:10" x14ac:dyDescent="0.2">
      <c r="B113" s="742" t="s">
        <v>525</v>
      </c>
      <c r="C113" s="749">
        <f>+C22*(1-Supuestos!$C$32)-C74*Valoracion!$C$9</f>
        <v>29960886.580780104</v>
      </c>
      <c r="D113" s="749">
        <f>+D22*(1-Supuestos!$C$32)-D74*Valoracion!$C$9</f>
        <v>260095315.55660617</v>
      </c>
      <c r="E113" s="749">
        <f>+E22*(1-Supuestos!$C$32)-E74*Valoracion!$C$9</f>
        <v>191837764.12990442</v>
      </c>
      <c r="F113" s="749">
        <f>+F22*(1-Supuestos!$C$32)-F74*Valoracion!$C$9</f>
        <v>152642494.58679771</v>
      </c>
      <c r="G113" s="749">
        <f>+G22*(1-Supuestos!$C$32)-G74*Valoracion!$C$9</f>
        <v>108563523.66502124</v>
      </c>
      <c r="H113" s="748"/>
    </row>
    <row r="114" spans="2:10" x14ac:dyDescent="0.2">
      <c r="B114" s="745" t="s">
        <v>526</v>
      </c>
      <c r="C114" s="746">
        <f>(NPV(Valoracion!C9,Valoracion!D31:I31))/-Valoracion!C31</f>
        <v>4.2836074659890286</v>
      </c>
      <c r="D114" s="687"/>
      <c r="E114" s="687"/>
      <c r="F114" s="687"/>
      <c r="G114" s="687"/>
      <c r="H114" s="687"/>
    </row>
    <row r="115" spans="2:10" x14ac:dyDescent="0.2">
      <c r="B115" s="424"/>
      <c r="C115" s="47"/>
      <c r="D115" s="687"/>
      <c r="E115" s="687"/>
      <c r="F115" s="687"/>
      <c r="G115" s="687"/>
      <c r="H115" s="687"/>
    </row>
    <row r="116" spans="2:10" x14ac:dyDescent="0.2">
      <c r="B116" s="424"/>
      <c r="C116" s="70"/>
      <c r="D116" s="687"/>
      <c r="E116" s="687"/>
      <c r="F116" s="687"/>
      <c r="G116" s="687"/>
      <c r="H116" s="687"/>
    </row>
    <row r="117" spans="2:10" x14ac:dyDescent="0.2">
      <c r="B117" s="424"/>
      <c r="C117" s="47"/>
      <c r="D117" s="600"/>
      <c r="E117" s="600"/>
      <c r="F117" s="600"/>
      <c r="G117" s="600"/>
      <c r="H117" s="600"/>
      <c r="J117" s="600"/>
    </row>
    <row r="118" spans="2:10" x14ac:dyDescent="0.2">
      <c r="B118" s="424"/>
      <c r="C118" s="602"/>
      <c r="D118" s="602"/>
      <c r="J118" s="600"/>
    </row>
    <row r="119" spans="2:10" x14ac:dyDescent="0.2">
      <c r="B119" s="424"/>
      <c r="C119" s="605"/>
      <c r="D119" s="605"/>
      <c r="H119" s="600"/>
    </row>
    <row r="120" spans="2:10" x14ac:dyDescent="0.2">
      <c r="B120" s="424"/>
      <c r="C120" s="47"/>
      <c r="D120" s="47"/>
      <c r="H120" s="600"/>
    </row>
    <row r="121" spans="2:10" x14ac:dyDescent="0.2">
      <c r="B121" s="424"/>
      <c r="C121" s="70"/>
      <c r="D121" s="70"/>
    </row>
    <row r="122" spans="2:10" x14ac:dyDescent="0.2">
      <c r="B122" s="424"/>
      <c r="H122" s="425"/>
    </row>
    <row r="123" spans="2:10" x14ac:dyDescent="0.2">
      <c r="B123" s="424"/>
      <c r="H123" s="618"/>
    </row>
    <row r="124" spans="2:10" x14ac:dyDescent="0.2">
      <c r="H124" s="618"/>
    </row>
  </sheetData>
  <dataConsolidate/>
  <mergeCells count="6">
    <mergeCell ref="J8:P8"/>
    <mergeCell ref="J9:P9"/>
    <mergeCell ref="B49:I49"/>
    <mergeCell ref="B50:I50"/>
    <mergeCell ref="B8:H8"/>
    <mergeCell ref="B9:H9"/>
  </mergeCells>
  <phoneticPr fontId="0" type="noConversion"/>
  <printOptions horizontalCentered="1" verticalCentered="1"/>
  <pageMargins left="0.39370078740157483" right="0.39370078740157483" top="0.39370078740157483" bottom="0.39370078740157483" header="0" footer="0"/>
  <pageSetup scale="72" fitToWidth="12" fitToHeight="12" orientation="landscape" horizontalDpi="120" verticalDpi="144" r:id="rId1"/>
  <headerFooter alignWithMargins="0"/>
  <rowBreaks count="2" manualBreakCount="2">
    <brk id="7" max="16383" man="1"/>
    <brk id="47" min="1" max="15" man="1"/>
  </rowBreaks>
  <drawing r:id="rId2"/>
  <legacyDrawing r:id="rId3"/>
  <controls>
    <mc:AlternateContent xmlns:mc="http://schemas.openxmlformats.org/markup-compatibility/2006">
      <mc:Choice Requires="x14">
        <control shapeId="23886" r:id="rId4" name="CommandButton1">
          <controlPr defaultSize="0" autoLine="0" r:id="rId5">
            <anchor moveWithCells="1">
              <from>
                <xdr:col>1</xdr:col>
                <xdr:colOff>28575</xdr:colOff>
                <xdr:row>0</xdr:row>
                <xdr:rowOff>123825</xdr:rowOff>
              </from>
              <to>
                <xdr:col>1</xdr:col>
                <xdr:colOff>1714500</xdr:colOff>
                <xdr:row>4</xdr:row>
                <xdr:rowOff>66675</xdr:rowOff>
              </to>
            </anchor>
          </controlPr>
        </control>
      </mc:Choice>
      <mc:Fallback>
        <control shapeId="23886" r:id="rId4" name="CommandButton1"/>
      </mc:Fallback>
    </mc:AlternateContent>
    <mc:AlternateContent xmlns:mc="http://schemas.openxmlformats.org/markup-compatibility/2006">
      <mc:Choice Requires="x14">
        <control shapeId="23887" r:id="rId6" name="CommandButton2">
          <controlPr defaultSize="0" autoLine="0" r:id="rId7">
            <anchor moveWithCells="1">
              <from>
                <xdr:col>0</xdr:col>
                <xdr:colOff>238125</xdr:colOff>
                <xdr:row>43</xdr:row>
                <xdr:rowOff>142875</xdr:rowOff>
              </from>
              <to>
                <xdr:col>1</xdr:col>
                <xdr:colOff>1676400</xdr:colOff>
                <xdr:row>47</xdr:row>
                <xdr:rowOff>85725</xdr:rowOff>
              </to>
            </anchor>
          </controlPr>
        </control>
      </mc:Choice>
      <mc:Fallback>
        <control shapeId="23887" r:id="rId6" name="CommandButton2"/>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C1:G1"/>
  <sheetViews>
    <sheetView showGridLines="0" topLeftCell="A70" zoomScale="165" workbookViewId="0">
      <selection activeCell="H81" sqref="H81"/>
    </sheetView>
  </sheetViews>
  <sheetFormatPr baseColWidth="10" defaultRowHeight="12.75" x14ac:dyDescent="0.2"/>
  <sheetData>
    <row r="1" spans="3:7" x14ac:dyDescent="0.2">
      <c r="C1" s="23"/>
      <c r="F1" s="23"/>
      <c r="G1" s="23"/>
    </row>
  </sheetData>
  <phoneticPr fontId="0" type="noConversion"/>
  <pageMargins left="0.75" right="0.75" top="1" bottom="1" header="0" footer="0"/>
  <headerFooter alignWithMargins="0"/>
  <drawing r:id="rId1"/>
  <legacyDrawing r:id="rId2"/>
  <controls>
    <mc:AlternateContent xmlns:mc="http://schemas.openxmlformats.org/markup-compatibility/2006">
      <mc:Choice Requires="x14">
        <control shapeId="27655" r:id="rId3" name="CommandButton1">
          <controlPr defaultSize="0" autoLine="0" autoPict="0" r:id="rId4">
            <anchor moveWithCells="1">
              <from>
                <xdr:col>0</xdr:col>
                <xdr:colOff>171450</xdr:colOff>
                <xdr:row>1</xdr:row>
                <xdr:rowOff>19050</xdr:rowOff>
              </from>
              <to>
                <xdr:col>2</xdr:col>
                <xdr:colOff>104775</xdr:colOff>
                <xdr:row>4</xdr:row>
                <xdr:rowOff>9525</xdr:rowOff>
              </to>
            </anchor>
          </controlPr>
        </control>
      </mc:Choice>
      <mc:Fallback>
        <control shapeId="27655" r:id="rId3" name="CommandButton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B1:O54"/>
  <sheetViews>
    <sheetView showGridLines="0" topLeftCell="A14" zoomScale="187" zoomScaleNormal="160" workbookViewId="0">
      <selection activeCell="A15" sqref="A15:XFD15"/>
    </sheetView>
  </sheetViews>
  <sheetFormatPr baseColWidth="10" defaultRowHeight="12.75" x14ac:dyDescent="0.2"/>
  <cols>
    <col min="1" max="1" width="2.28515625" style="23" customWidth="1"/>
    <col min="2" max="2" width="48.42578125" style="23" customWidth="1"/>
    <col min="3" max="9" width="11.28515625" style="23" customWidth="1"/>
    <col min="10" max="10" width="3.42578125" style="23" customWidth="1"/>
    <col min="11" max="12" width="11.5703125" style="23" bestFit="1" customWidth="1"/>
    <col min="13" max="15" width="11.7109375" style="23" bestFit="1" customWidth="1"/>
    <col min="16" max="16384" width="11.42578125" style="23"/>
  </cols>
  <sheetData>
    <row r="1" spans="2:12" ht="15" x14ac:dyDescent="0.2">
      <c r="B1" s="166"/>
    </row>
    <row r="6" spans="2:12" x14ac:dyDescent="0.2">
      <c r="C6" s="24"/>
      <c r="D6" s="25"/>
    </row>
    <row r="8" spans="2:12" x14ac:dyDescent="0.2">
      <c r="B8" s="752" t="s">
        <v>429</v>
      </c>
      <c r="C8" s="753"/>
      <c r="D8" s="753"/>
      <c r="E8" s="753"/>
      <c r="F8" s="753"/>
      <c r="G8" s="753"/>
      <c r="H8" s="753"/>
      <c r="I8" s="753"/>
    </row>
    <row r="9" spans="2:12" x14ac:dyDescent="0.2">
      <c r="B9" s="754" t="s">
        <v>155</v>
      </c>
      <c r="C9" s="755"/>
      <c r="D9" s="755"/>
      <c r="E9" s="755"/>
      <c r="F9" s="755"/>
      <c r="G9" s="755"/>
      <c r="H9" s="755"/>
      <c r="I9" s="755"/>
    </row>
    <row r="10" spans="2:12" x14ac:dyDescent="0.2">
      <c r="B10" s="24"/>
      <c r="C10" s="24"/>
      <c r="D10" s="25"/>
    </row>
    <row r="11" spans="2:12" ht="14.25" customHeight="1" x14ac:dyDescent="0.2">
      <c r="B11" s="138"/>
      <c r="C11" s="178">
        <v>2021</v>
      </c>
      <c r="D11" s="124">
        <f t="shared" ref="D11:I11" si="0">C11+1</f>
        <v>2022</v>
      </c>
      <c r="E11" s="124">
        <f t="shared" si="0"/>
        <v>2023</v>
      </c>
      <c r="F11" s="124">
        <f t="shared" si="0"/>
        <v>2024</v>
      </c>
      <c r="G11" s="124">
        <f t="shared" si="0"/>
        <v>2025</v>
      </c>
      <c r="H11" s="124">
        <f t="shared" si="0"/>
        <v>2026</v>
      </c>
      <c r="I11" s="124">
        <f t="shared" si="0"/>
        <v>2027</v>
      </c>
    </row>
    <row r="12" spans="2:12" x14ac:dyDescent="0.2">
      <c r="B12" s="26" t="s">
        <v>40</v>
      </c>
      <c r="C12" s="26"/>
      <c r="D12" s="27">
        <v>12</v>
      </c>
      <c r="E12" s="27">
        <v>12</v>
      </c>
      <c r="F12" s="27">
        <v>12</v>
      </c>
      <c r="G12" s="27">
        <v>12</v>
      </c>
      <c r="H12" s="27">
        <v>12</v>
      </c>
      <c r="I12" s="27">
        <v>12</v>
      </c>
      <c r="L12" s="36"/>
    </row>
    <row r="13" spans="2:12" x14ac:dyDescent="0.2">
      <c r="B13" s="26" t="s">
        <v>186</v>
      </c>
      <c r="C13" s="734">
        <v>3.3000000000000002E-2</v>
      </c>
      <c r="D13" s="734">
        <v>3.3000000000000002E-2</v>
      </c>
      <c r="E13" s="734">
        <v>3.5999999999999997E-2</v>
      </c>
      <c r="F13" s="734">
        <v>4.2000000000000003E-2</v>
      </c>
      <c r="G13" s="734">
        <v>4.8000000000000001E-2</v>
      </c>
      <c r="H13" s="734">
        <v>5.3999999999999999E-2</v>
      </c>
      <c r="I13" s="734">
        <v>0.06</v>
      </c>
    </row>
    <row r="14" spans="2:12" x14ac:dyDescent="0.2">
      <c r="B14" s="26" t="s">
        <v>281</v>
      </c>
      <c r="C14" s="734">
        <v>0.06</v>
      </c>
      <c r="D14" s="734">
        <v>4.1000000000000002E-2</v>
      </c>
      <c r="E14" s="734">
        <v>0.04</v>
      </c>
      <c r="F14" s="734">
        <v>0.04</v>
      </c>
      <c r="G14" s="734">
        <v>0.04</v>
      </c>
      <c r="H14" s="734">
        <v>0.04</v>
      </c>
      <c r="I14" s="734">
        <v>0.04</v>
      </c>
    </row>
    <row r="15" spans="2:12" x14ac:dyDescent="0.2">
      <c r="B15" s="26" t="s">
        <v>173</v>
      </c>
      <c r="C15" s="734">
        <v>1.6E-2</v>
      </c>
      <c r="D15" s="734">
        <v>1.6E-2</v>
      </c>
      <c r="E15" s="734">
        <v>1.6E-2</v>
      </c>
      <c r="F15" s="734">
        <v>1.6E-2</v>
      </c>
      <c r="G15" s="734">
        <v>1.6E-2</v>
      </c>
      <c r="H15" s="734">
        <v>1.6E-2</v>
      </c>
      <c r="I15" s="734">
        <v>1.6E-2</v>
      </c>
      <c r="L15" s="28"/>
    </row>
    <row r="16" spans="2:12" x14ac:dyDescent="0.2">
      <c r="B16" s="26" t="s">
        <v>174</v>
      </c>
      <c r="C16" s="177">
        <v>3000</v>
      </c>
      <c r="D16" s="29">
        <f t="shared" ref="D16:I16" si="1">C16*(1+D15)</f>
        <v>3048</v>
      </c>
      <c r="E16" s="29">
        <f t="shared" si="1"/>
        <v>3096.768</v>
      </c>
      <c r="F16" s="29">
        <f t="shared" si="1"/>
        <v>3146.316288</v>
      </c>
      <c r="G16" s="29">
        <f t="shared" si="1"/>
        <v>3196.6573486080001</v>
      </c>
      <c r="H16" s="29">
        <f t="shared" si="1"/>
        <v>3247.8038661857281</v>
      </c>
      <c r="I16" s="29">
        <f t="shared" si="1"/>
        <v>3299.7687280446999</v>
      </c>
    </row>
    <row r="17" spans="2:15" x14ac:dyDescent="0.2">
      <c r="B17" s="26" t="s">
        <v>175</v>
      </c>
      <c r="C17" s="177"/>
      <c r="D17" s="29">
        <f t="shared" ref="D17:I17" si="2">(C16+D16)/2</f>
        <v>3024</v>
      </c>
      <c r="E17" s="29">
        <f t="shared" si="2"/>
        <v>3072.384</v>
      </c>
      <c r="F17" s="29">
        <f t="shared" si="2"/>
        <v>3121.542144</v>
      </c>
      <c r="G17" s="29">
        <f t="shared" si="2"/>
        <v>3171.4868183039998</v>
      </c>
      <c r="H17" s="29">
        <f t="shared" si="2"/>
        <v>3222.2306073968639</v>
      </c>
      <c r="I17" s="29">
        <f t="shared" si="2"/>
        <v>3273.786297115214</v>
      </c>
    </row>
    <row r="18" spans="2:15" x14ac:dyDescent="0.2">
      <c r="B18" s="26"/>
      <c r="C18" s="30"/>
      <c r="D18" s="30"/>
      <c r="E18" s="30"/>
      <c r="F18" s="30"/>
      <c r="G18" s="30"/>
      <c r="H18" s="30"/>
      <c r="I18" s="30"/>
    </row>
    <row r="19" spans="2:15" x14ac:dyDescent="0.2">
      <c r="B19" s="26" t="s">
        <v>176</v>
      </c>
      <c r="C19" s="176">
        <v>0</v>
      </c>
      <c r="D19" s="176">
        <v>0</v>
      </c>
      <c r="E19" s="176">
        <v>0</v>
      </c>
      <c r="F19" s="176">
        <v>0</v>
      </c>
      <c r="G19" s="176">
        <v>0</v>
      </c>
      <c r="H19" s="176">
        <v>0</v>
      </c>
      <c r="I19" s="176">
        <v>0</v>
      </c>
    </row>
    <row r="20" spans="2:15" x14ac:dyDescent="0.2">
      <c r="B20" s="26" t="s">
        <v>168</v>
      </c>
      <c r="C20" s="30">
        <f>C13+C19</f>
        <v>3.3000000000000002E-2</v>
      </c>
      <c r="D20" s="30">
        <f t="shared" ref="D20:I20" si="3">D13+D19</f>
        <v>3.3000000000000002E-2</v>
      </c>
      <c r="E20" s="30">
        <f t="shared" si="3"/>
        <v>3.5999999999999997E-2</v>
      </c>
      <c r="F20" s="30">
        <f t="shared" si="3"/>
        <v>4.2000000000000003E-2</v>
      </c>
      <c r="G20" s="30">
        <f t="shared" si="3"/>
        <v>4.8000000000000001E-2</v>
      </c>
      <c r="H20" s="30">
        <f t="shared" si="3"/>
        <v>5.3999999999999999E-2</v>
      </c>
      <c r="I20" s="30">
        <f t="shared" si="3"/>
        <v>0.06</v>
      </c>
    </row>
    <row r="21" spans="2:15" x14ac:dyDescent="0.2">
      <c r="B21" s="26"/>
      <c r="C21" s="30"/>
      <c r="D21" s="30"/>
      <c r="E21" s="30"/>
      <c r="F21" s="30"/>
      <c r="G21" s="30"/>
      <c r="H21" s="30"/>
      <c r="I21" s="30"/>
    </row>
    <row r="22" spans="2:15" x14ac:dyDescent="0.2">
      <c r="B22" s="32" t="s">
        <v>187</v>
      </c>
      <c r="C22" s="179">
        <v>908526</v>
      </c>
      <c r="D22" s="33">
        <f t="shared" ref="D22:I22" si="4">C22*(1+C20)</f>
        <v>938507.35799999989</v>
      </c>
      <c r="E22" s="33">
        <f t="shared" si="4"/>
        <v>969478.10081399977</v>
      </c>
      <c r="F22" s="33">
        <f t="shared" si="4"/>
        <v>1004379.3124433038</v>
      </c>
      <c r="G22" s="33">
        <f t="shared" si="4"/>
        <v>1046563.2435659226</v>
      </c>
      <c r="H22" s="33">
        <f t="shared" si="4"/>
        <v>1096798.279257087</v>
      </c>
      <c r="I22" s="33">
        <f t="shared" si="4"/>
        <v>1156025.3863369697</v>
      </c>
      <c r="K22" s="133"/>
      <c r="L22" s="133"/>
      <c r="M22" s="133"/>
      <c r="N22" s="133"/>
      <c r="O22" s="133"/>
    </row>
    <row r="23" spans="2:15" x14ac:dyDescent="0.2">
      <c r="B23" s="32" t="s">
        <v>161</v>
      </c>
      <c r="C23" s="179">
        <v>0</v>
      </c>
      <c r="D23" s="33">
        <f t="shared" ref="D23:I23" si="5">C23*(1+C20)</f>
        <v>0</v>
      </c>
      <c r="E23" s="33">
        <f t="shared" si="5"/>
        <v>0</v>
      </c>
      <c r="F23" s="33">
        <f t="shared" si="5"/>
        <v>0</v>
      </c>
      <c r="G23" s="33">
        <f t="shared" si="5"/>
        <v>0</v>
      </c>
      <c r="H23" s="33">
        <f t="shared" si="5"/>
        <v>0</v>
      </c>
      <c r="I23" s="33">
        <f t="shared" si="5"/>
        <v>0</v>
      </c>
    </row>
    <row r="24" spans="2:15" x14ac:dyDescent="0.2">
      <c r="B24" s="32" t="s">
        <v>41</v>
      </c>
      <c r="C24" s="34"/>
      <c r="D24" s="33">
        <f t="shared" ref="D24:I24" si="6">D22*2</f>
        <v>1877014.7159999998</v>
      </c>
      <c r="E24" s="33">
        <f t="shared" si="6"/>
        <v>1938956.2016279995</v>
      </c>
      <c r="F24" s="33">
        <f t="shared" si="6"/>
        <v>2008758.6248866075</v>
      </c>
      <c r="G24" s="33">
        <f t="shared" si="6"/>
        <v>2093126.4871318452</v>
      </c>
      <c r="H24" s="33">
        <f t="shared" si="6"/>
        <v>2193596.5585141741</v>
      </c>
      <c r="I24" s="33">
        <f t="shared" si="6"/>
        <v>2312050.7726739394</v>
      </c>
    </row>
    <row r="25" spans="2:15" x14ac:dyDescent="0.2">
      <c r="B25" s="32" t="s">
        <v>169</v>
      </c>
      <c r="C25" s="34"/>
      <c r="D25" s="176">
        <v>0.6</v>
      </c>
      <c r="E25" s="176">
        <v>0.6</v>
      </c>
      <c r="F25" s="176">
        <v>0.6</v>
      </c>
      <c r="G25" s="176">
        <v>0.6</v>
      </c>
      <c r="H25" s="176">
        <v>0.6</v>
      </c>
      <c r="I25" s="176">
        <v>0.6</v>
      </c>
    </row>
    <row r="26" spans="2:15" x14ac:dyDescent="0.2">
      <c r="B26" s="26"/>
      <c r="C26" s="31"/>
      <c r="D26" s="31"/>
      <c r="E26" s="31"/>
      <c r="F26" s="31"/>
      <c r="G26" s="31"/>
      <c r="H26" s="31"/>
      <c r="I26" s="31"/>
    </row>
    <row r="27" spans="2:15" x14ac:dyDescent="0.2">
      <c r="B27" s="26" t="s">
        <v>170</v>
      </c>
      <c r="C27" s="176">
        <v>2.8000000000000001E-2</v>
      </c>
      <c r="D27" s="176">
        <v>2.8000000000000001E-2</v>
      </c>
      <c r="E27" s="176">
        <v>2.8000000000000001E-2</v>
      </c>
      <c r="F27" s="176">
        <v>2.8000000000000001E-2</v>
      </c>
      <c r="G27" s="176">
        <v>2.8000000000000001E-2</v>
      </c>
      <c r="H27" s="176">
        <v>2.8000000000000001E-2</v>
      </c>
      <c r="I27" s="176">
        <v>2.8000000000000001E-2</v>
      </c>
    </row>
    <row r="28" spans="2:15" x14ac:dyDescent="0.2">
      <c r="B28" s="26" t="s">
        <v>171</v>
      </c>
      <c r="C28" s="176"/>
      <c r="D28" s="176"/>
      <c r="E28" s="176"/>
      <c r="F28" s="176"/>
      <c r="G28" s="176"/>
      <c r="H28" s="176"/>
      <c r="I28" s="176"/>
    </row>
    <row r="29" spans="2:15" x14ac:dyDescent="0.2">
      <c r="B29" s="26"/>
      <c r="C29" s="31"/>
      <c r="D29" s="30"/>
      <c r="E29" s="30"/>
      <c r="F29" s="30"/>
      <c r="G29" s="30"/>
      <c r="H29" s="30"/>
      <c r="I29" s="30"/>
    </row>
    <row r="30" spans="2:15" x14ac:dyDescent="0.2">
      <c r="B30" s="32" t="s">
        <v>42</v>
      </c>
      <c r="C30" s="187"/>
      <c r="D30" s="176">
        <v>0.05</v>
      </c>
      <c r="E30" s="176"/>
      <c r="F30" s="176"/>
      <c r="G30" s="176"/>
      <c r="H30" s="176"/>
      <c r="I30" s="176"/>
    </row>
    <row r="31" spans="2:15" x14ac:dyDescent="0.2">
      <c r="B31" s="32"/>
      <c r="C31" s="34"/>
      <c r="D31" s="35"/>
      <c r="E31" s="35"/>
      <c r="F31" s="35"/>
      <c r="G31" s="35"/>
      <c r="H31" s="35"/>
      <c r="I31" s="35"/>
    </row>
    <row r="32" spans="2:15" hidden="1" x14ac:dyDescent="0.2">
      <c r="B32" s="26" t="s">
        <v>79</v>
      </c>
      <c r="C32" s="741">
        <v>0.35</v>
      </c>
      <c r="D32" s="741">
        <v>0.4</v>
      </c>
      <c r="E32" s="741">
        <v>0.4</v>
      </c>
      <c r="F32" s="741">
        <v>0.4</v>
      </c>
      <c r="G32" s="741">
        <v>0.4</v>
      </c>
      <c r="H32" s="741">
        <v>0.4</v>
      </c>
      <c r="I32" s="741">
        <v>0.4</v>
      </c>
    </row>
    <row r="33" spans="2:10" x14ac:dyDescent="0.2">
      <c r="B33" s="26" t="s">
        <v>172</v>
      </c>
      <c r="C33" s="730"/>
      <c r="D33" s="180"/>
      <c r="E33" s="180"/>
      <c r="F33" s="180"/>
      <c r="G33" s="180"/>
      <c r="H33" s="180"/>
      <c r="I33" s="180"/>
    </row>
    <row r="34" spans="2:10" x14ac:dyDescent="0.2">
      <c r="B34" s="26"/>
      <c r="C34" s="31"/>
      <c r="D34" s="31"/>
      <c r="E34" s="31"/>
      <c r="F34" s="31"/>
      <c r="G34" s="31"/>
      <c r="H34" s="31"/>
      <c r="I34" s="31"/>
    </row>
    <row r="35" spans="2:10" x14ac:dyDescent="0.2">
      <c r="B35" s="26" t="s">
        <v>43</v>
      </c>
      <c r="C35" s="734"/>
      <c r="D35" s="734"/>
      <c r="E35" s="734"/>
      <c r="F35" s="734"/>
      <c r="G35" s="734"/>
      <c r="H35" s="734"/>
      <c r="I35" s="176"/>
    </row>
    <row r="36" spans="2:10" x14ac:dyDescent="0.2">
      <c r="B36" s="26" t="s">
        <v>77</v>
      </c>
      <c r="C36" s="31"/>
      <c r="D36" s="30"/>
      <c r="E36" s="30"/>
      <c r="F36" s="30"/>
      <c r="G36" s="30"/>
      <c r="H36" s="30"/>
      <c r="I36" s="30"/>
    </row>
    <row r="37" spans="2:10" x14ac:dyDescent="0.2">
      <c r="B37" s="26" t="s">
        <v>78</v>
      </c>
      <c r="C37" s="176"/>
      <c r="D37" s="176"/>
      <c r="E37" s="176"/>
      <c r="F37" s="176"/>
      <c r="G37" s="176"/>
      <c r="H37" s="176"/>
      <c r="I37" s="176"/>
    </row>
    <row r="38" spans="2:10" x14ac:dyDescent="0.2">
      <c r="B38" s="26"/>
      <c r="C38" s="31"/>
      <c r="D38" s="31"/>
      <c r="E38" s="30"/>
      <c r="F38" s="30"/>
      <c r="G38" s="30"/>
      <c r="H38" s="30"/>
      <c r="I38" s="30"/>
      <c r="J38" s="36"/>
    </row>
    <row r="39" spans="2:10" x14ac:dyDescent="0.2">
      <c r="B39" s="26" t="s">
        <v>188</v>
      </c>
      <c r="C39" s="176"/>
      <c r="D39" s="176"/>
      <c r="E39" s="176"/>
      <c r="F39" s="176"/>
      <c r="G39" s="176"/>
      <c r="H39" s="176"/>
      <c r="I39" s="176"/>
      <c r="J39" s="36"/>
    </row>
    <row r="40" spans="2:10" x14ac:dyDescent="0.2">
      <c r="B40" s="26" t="s">
        <v>308</v>
      </c>
      <c r="C40" s="735"/>
      <c r="D40" s="181"/>
      <c r="E40" s="181"/>
      <c r="F40" s="181"/>
      <c r="G40" s="181"/>
      <c r="H40" s="181"/>
      <c r="I40" s="181"/>
      <c r="J40" s="36"/>
    </row>
    <row r="41" spans="2:10" x14ac:dyDescent="0.2">
      <c r="B41" s="26" t="s">
        <v>189</v>
      </c>
      <c r="C41" s="31">
        <v>360</v>
      </c>
      <c r="D41" s="31">
        <v>360</v>
      </c>
      <c r="E41" s="31"/>
      <c r="F41" s="31"/>
      <c r="G41" s="31"/>
      <c r="H41" s="31"/>
      <c r="I41" s="31"/>
    </row>
    <row r="42" spans="2:10" x14ac:dyDescent="0.2">
      <c r="B42" s="26"/>
      <c r="C42" s="31"/>
      <c r="D42" s="31"/>
      <c r="E42" s="31"/>
      <c r="F42" s="31"/>
      <c r="G42" s="31"/>
      <c r="H42" s="31"/>
      <c r="I42" s="31"/>
    </row>
    <row r="43" spans="2:10" x14ac:dyDescent="0.2">
      <c r="B43" s="26" t="s">
        <v>190</v>
      </c>
      <c r="C43" s="31"/>
      <c r="D43" s="179"/>
      <c r="E43" s="179"/>
      <c r="F43" s="179"/>
      <c r="G43" s="179"/>
      <c r="H43" s="179"/>
      <c r="I43" s="179"/>
    </row>
    <row r="44" spans="2:10" x14ac:dyDescent="0.2">
      <c r="B44" s="26" t="s">
        <v>191</v>
      </c>
      <c r="C44" s="31"/>
      <c r="D44" s="182"/>
      <c r="E44" s="182"/>
      <c r="F44" s="182"/>
      <c r="G44" s="182"/>
      <c r="H44" s="182"/>
      <c r="I44" s="182"/>
    </row>
    <row r="45" spans="2:10" x14ac:dyDescent="0.2">
      <c r="B45" s="26" t="s">
        <v>75</v>
      </c>
      <c r="C45" s="31"/>
      <c r="D45" s="179"/>
      <c r="E45" s="179"/>
      <c r="F45" s="179"/>
      <c r="G45" s="179"/>
      <c r="H45" s="179"/>
      <c r="I45" s="179"/>
      <c r="J45" s="37"/>
    </row>
    <row r="46" spans="2:10" x14ac:dyDescent="0.2">
      <c r="B46" s="26" t="s">
        <v>74</v>
      </c>
      <c r="C46" s="31"/>
      <c r="D46" s="183"/>
      <c r="E46" s="183"/>
      <c r="F46" s="183"/>
      <c r="G46" s="183"/>
      <c r="H46" s="183"/>
      <c r="I46" s="183"/>
    </row>
    <row r="47" spans="2:10" x14ac:dyDescent="0.2">
      <c r="B47" s="26" t="s">
        <v>76</v>
      </c>
      <c r="C47" s="31"/>
      <c r="D47" s="183"/>
      <c r="E47" s="183"/>
      <c r="F47" s="183"/>
      <c r="G47" s="183"/>
      <c r="H47" s="183"/>
      <c r="I47" s="183"/>
    </row>
    <row r="48" spans="2:10" x14ac:dyDescent="0.2">
      <c r="B48" s="26"/>
      <c r="C48" s="31"/>
      <c r="D48" s="31"/>
      <c r="E48" s="31"/>
      <c r="F48" s="31"/>
      <c r="G48" s="31"/>
      <c r="H48" s="31"/>
      <c r="I48" s="31"/>
    </row>
    <row r="49" spans="2:9" x14ac:dyDescent="0.2">
      <c r="B49" s="26" t="s">
        <v>179</v>
      </c>
      <c r="C49" s="31"/>
      <c r="D49" s="182"/>
      <c r="E49" s="182"/>
      <c r="F49" s="182"/>
      <c r="G49" s="182"/>
      <c r="H49" s="182"/>
      <c r="I49" s="182"/>
    </row>
    <row r="50" spans="2:9" x14ac:dyDescent="0.2">
      <c r="B50" s="26" t="s">
        <v>180</v>
      </c>
      <c r="C50" s="31"/>
      <c r="D50" s="184"/>
      <c r="E50" s="184"/>
      <c r="F50" s="184"/>
      <c r="G50" s="184"/>
      <c r="H50" s="184"/>
      <c r="I50" s="184"/>
    </row>
    <row r="51" spans="2:9" x14ac:dyDescent="0.2">
      <c r="B51" s="26"/>
      <c r="C51" s="31"/>
      <c r="D51" s="38"/>
      <c r="E51" s="38"/>
      <c r="F51" s="38"/>
      <c r="G51" s="38"/>
      <c r="H51" s="38"/>
      <c r="I51" s="38"/>
    </row>
    <row r="52" spans="2:9" x14ac:dyDescent="0.2">
      <c r="B52" s="26" t="s">
        <v>130</v>
      </c>
      <c r="C52" s="26"/>
      <c r="D52" s="185"/>
      <c r="E52" s="185"/>
      <c r="F52" s="185"/>
      <c r="G52" s="185"/>
      <c r="H52" s="185"/>
      <c r="I52" s="185"/>
    </row>
    <row r="53" spans="2:9" x14ac:dyDescent="0.2">
      <c r="B53" s="26"/>
      <c r="C53" s="26"/>
      <c r="D53" s="26"/>
      <c r="E53" s="26"/>
      <c r="F53" s="26"/>
      <c r="G53" s="26"/>
      <c r="H53" s="26"/>
      <c r="I53" s="26"/>
    </row>
    <row r="54" spans="2:9" x14ac:dyDescent="0.2">
      <c r="B54" s="26" t="s">
        <v>86</v>
      </c>
      <c r="C54" s="276">
        <v>20000000</v>
      </c>
      <c r="D54" s="26"/>
      <c r="E54" s="26"/>
      <c r="F54" s="26"/>
      <c r="G54" s="26"/>
      <c r="H54" s="26"/>
      <c r="I54" s="26"/>
    </row>
  </sheetData>
  <mergeCells count="2">
    <mergeCell ref="B8:I8"/>
    <mergeCell ref="B9:I9"/>
  </mergeCells>
  <phoneticPr fontId="0" type="noConversion"/>
  <printOptions horizontalCentered="1" verticalCentered="1"/>
  <pageMargins left="0.19685039370078741" right="0.19685039370078741" top="0.19685039370078741" bottom="0.19685039370078741" header="0" footer="0"/>
  <pageSetup scale="77"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0"/>
  <dimension ref="B1:P378"/>
  <sheetViews>
    <sheetView showGridLines="0" topLeftCell="A140" zoomScaleNormal="100" workbookViewId="0">
      <selection activeCell="O154" sqref="O154"/>
    </sheetView>
  </sheetViews>
  <sheetFormatPr baseColWidth="10" defaultRowHeight="12.75" x14ac:dyDescent="0.2"/>
  <cols>
    <col min="1" max="1" width="3.28515625" style="23" customWidth="1"/>
    <col min="2" max="2" width="7.140625" style="50" customWidth="1"/>
    <col min="3" max="3" width="48.85546875" style="23" bestFit="1" customWidth="1"/>
    <col min="4" max="4" width="16.140625" style="23" bestFit="1" customWidth="1"/>
    <col min="5" max="5" width="16.140625" style="50" bestFit="1" customWidth="1"/>
    <col min="6" max="6" width="18.42578125" style="50" customWidth="1"/>
    <col min="7" max="7" width="18.140625" style="50" bestFit="1" customWidth="1"/>
    <col min="8" max="9" width="16.140625" style="50" bestFit="1" customWidth="1"/>
    <col min="10" max="10" width="16.140625" style="50" customWidth="1"/>
    <col min="11" max="11" width="14.140625" style="50" bestFit="1" customWidth="1"/>
    <col min="12" max="12" width="14.140625" style="23" bestFit="1" customWidth="1"/>
    <col min="13" max="13" width="13.42578125" style="23" bestFit="1" customWidth="1"/>
    <col min="14" max="15" width="14.140625" style="23" bestFit="1" customWidth="1"/>
    <col min="16" max="16" width="13.28515625" style="23" customWidth="1"/>
    <col min="17" max="16384" width="11.42578125" style="23"/>
  </cols>
  <sheetData>
    <row r="1" spans="2:16" x14ac:dyDescent="0.2">
      <c r="G1" s="23"/>
      <c r="H1" s="23"/>
    </row>
    <row r="7" spans="2:16" s="87" customFormat="1" x14ac:dyDescent="0.2">
      <c r="B7" s="86"/>
      <c r="E7" s="86"/>
      <c r="F7" s="168" t="s">
        <v>290</v>
      </c>
      <c r="G7" s="167"/>
      <c r="H7" s="168">
        <v>1</v>
      </c>
      <c r="I7" s="169">
        <f>1+Supuestos!D13</f>
        <v>1.0329999999999999</v>
      </c>
      <c r="J7" s="169"/>
      <c r="K7" s="168">
        <f>+(I7*Supuestos!E13)+Inversion!I7</f>
        <v>1.0701879999999999</v>
      </c>
      <c r="L7" s="168">
        <f>+(K7*Supuestos!F13)+Inversion!K7</f>
        <v>1.115135896</v>
      </c>
      <c r="M7" s="168">
        <f>+(L7*Supuestos!G13)+Inversion!L7</f>
        <v>1.1686624190079999</v>
      </c>
      <c r="N7" s="168">
        <f>+(M7*Supuestos!H13)+Inversion!M7</f>
        <v>1.231770189634432</v>
      </c>
      <c r="O7" s="168">
        <f>+(N7*Supuestos!I13)+Inversion!N7</f>
        <v>1.3056764010124979</v>
      </c>
    </row>
    <row r="8" spans="2:16" s="87" customFormat="1" x14ac:dyDescent="0.2">
      <c r="B8" s="756" t="str">
        <f>Supuestos!B8</f>
        <v>Centro de acopio la Bonanza Campesina</v>
      </c>
      <c r="C8" s="757"/>
      <c r="D8" s="757"/>
      <c r="E8" s="757"/>
      <c r="F8" s="757"/>
      <c r="G8" s="757"/>
      <c r="H8" s="757"/>
      <c r="I8" s="757"/>
      <c r="J8" s="757"/>
      <c r="K8" s="757"/>
      <c r="L8" s="757"/>
      <c r="M8" s="757"/>
      <c r="N8" s="757"/>
      <c r="O8" s="758"/>
    </row>
    <row r="9" spans="2:16" ht="12.75" customHeight="1" x14ac:dyDescent="0.2">
      <c r="B9" s="759" t="s">
        <v>205</v>
      </c>
      <c r="C9" s="760"/>
      <c r="D9" s="760"/>
      <c r="E9" s="760"/>
      <c r="F9" s="760"/>
      <c r="G9" s="760"/>
      <c r="H9" s="760"/>
      <c r="I9" s="760"/>
      <c r="J9" s="760"/>
      <c r="K9" s="760"/>
      <c r="L9" s="760"/>
      <c r="M9" s="760"/>
      <c r="N9" s="760"/>
      <c r="O9" s="761"/>
    </row>
    <row r="10" spans="2:16" x14ac:dyDescent="0.2">
      <c r="C10" s="93"/>
      <c r="D10" s="93"/>
      <c r="E10" s="93"/>
      <c r="F10" s="93"/>
      <c r="G10" s="93"/>
      <c r="H10" s="93"/>
      <c r="I10" s="93"/>
      <c r="J10" s="93"/>
      <c r="K10" s="93"/>
      <c r="L10" s="93"/>
      <c r="M10" s="93"/>
      <c r="N10" s="93"/>
      <c r="O10" s="93"/>
    </row>
    <row r="11" spans="2:16" s="68" customFormat="1" x14ac:dyDescent="0.2">
      <c r="B11" s="88"/>
      <c r="C11" s="93"/>
      <c r="D11" s="93"/>
      <c r="E11" s="767" t="s">
        <v>286</v>
      </c>
      <c r="F11" s="768"/>
      <c r="G11" s="768"/>
      <c r="H11" s="768"/>
      <c r="I11" s="768"/>
      <c r="J11" s="769"/>
      <c r="K11" s="767" t="s">
        <v>287</v>
      </c>
      <c r="L11" s="768"/>
      <c r="M11" s="768"/>
      <c r="N11" s="768"/>
      <c r="O11" s="768"/>
      <c r="P11" s="769"/>
    </row>
    <row r="12" spans="2:16" ht="31.5" customHeight="1" x14ac:dyDescent="0.2">
      <c r="B12" s="141" t="s">
        <v>292</v>
      </c>
      <c r="C12" s="142" t="s">
        <v>288</v>
      </c>
      <c r="D12" s="124" t="s">
        <v>291</v>
      </c>
      <c r="E12" s="139" t="s">
        <v>4</v>
      </c>
      <c r="F12" s="140" t="s">
        <v>326</v>
      </c>
      <c r="G12" s="140" t="s">
        <v>327</v>
      </c>
      <c r="H12" s="140" t="s">
        <v>328</v>
      </c>
      <c r="I12" s="140" t="s">
        <v>329</v>
      </c>
      <c r="J12" s="140" t="s">
        <v>393</v>
      </c>
      <c r="K12" s="139" t="s">
        <v>4</v>
      </c>
      <c r="L12" s="140" t="s">
        <v>326</v>
      </c>
      <c r="M12" s="140" t="s">
        <v>327</v>
      </c>
      <c r="N12" s="140" t="s">
        <v>328</v>
      </c>
      <c r="O12" s="140" t="s">
        <v>329</v>
      </c>
      <c r="P12" s="140" t="s">
        <v>393</v>
      </c>
    </row>
    <row r="13" spans="2:16" x14ac:dyDescent="0.2">
      <c r="B13" s="88"/>
      <c r="C13" s="188"/>
      <c r="D13" s="189"/>
      <c r="E13" s="190"/>
      <c r="F13" s="191"/>
      <c r="G13" s="191"/>
      <c r="H13" s="191"/>
      <c r="I13" s="191"/>
      <c r="J13" s="192"/>
      <c r="K13" s="94">
        <f>+$D13*E13*H$7</f>
        <v>0</v>
      </c>
      <c r="L13" s="95">
        <f>+$D13*F13*K$7</f>
        <v>0</v>
      </c>
      <c r="M13" s="95">
        <f>+$D13*G13*L$7</f>
        <v>0</v>
      </c>
      <c r="N13" s="95">
        <f>+$D13*H13*M$7</f>
        <v>0</v>
      </c>
      <c r="O13" s="95">
        <f>+$D13*I13*N$7</f>
        <v>0</v>
      </c>
      <c r="P13" s="96">
        <f>+$D13*J13*O$7</f>
        <v>0</v>
      </c>
    </row>
    <row r="14" spans="2:16" x14ac:dyDescent="0.2">
      <c r="B14" s="88"/>
      <c r="C14" s="188"/>
      <c r="D14" s="189"/>
      <c r="E14" s="193"/>
      <c r="F14" s="194"/>
      <c r="G14" s="194"/>
      <c r="H14" s="194"/>
      <c r="I14" s="194"/>
      <c r="J14" s="195"/>
      <c r="K14" s="97">
        <f t="shared" ref="K14:K22" si="0">+$D14*E14*H$7</f>
        <v>0</v>
      </c>
      <c r="L14" s="98">
        <f t="shared" ref="L14:L22" si="1">+$D14*F14*K$7</f>
        <v>0</v>
      </c>
      <c r="M14" s="98">
        <f t="shared" ref="M14:M22" si="2">+$D14*G14*L$7</f>
        <v>0</v>
      </c>
      <c r="N14" s="98">
        <f t="shared" ref="N14:N22" si="3">+$D14*H14*M$7</f>
        <v>0</v>
      </c>
      <c r="O14" s="98">
        <f t="shared" ref="O14:P22" si="4">+$D14*I14*N$7</f>
        <v>0</v>
      </c>
      <c r="P14" s="99">
        <f t="shared" si="4"/>
        <v>0</v>
      </c>
    </row>
    <row r="15" spans="2:16" x14ac:dyDescent="0.2">
      <c r="B15" s="88"/>
      <c r="C15" s="188"/>
      <c r="D15" s="189"/>
      <c r="E15" s="193"/>
      <c r="F15" s="194"/>
      <c r="G15" s="194"/>
      <c r="H15" s="194"/>
      <c r="I15" s="194"/>
      <c r="J15" s="195"/>
      <c r="K15" s="97">
        <f t="shared" si="0"/>
        <v>0</v>
      </c>
      <c r="L15" s="98">
        <f t="shared" si="1"/>
        <v>0</v>
      </c>
      <c r="M15" s="98">
        <f t="shared" si="2"/>
        <v>0</v>
      </c>
      <c r="N15" s="98">
        <f t="shared" si="3"/>
        <v>0</v>
      </c>
      <c r="O15" s="98">
        <f t="shared" si="4"/>
        <v>0</v>
      </c>
      <c r="P15" s="99">
        <f t="shared" si="4"/>
        <v>0</v>
      </c>
    </row>
    <row r="16" spans="2:16" x14ac:dyDescent="0.2">
      <c r="B16" s="88"/>
      <c r="C16" s="188"/>
      <c r="D16" s="189"/>
      <c r="E16" s="193"/>
      <c r="F16" s="194"/>
      <c r="G16" s="194"/>
      <c r="H16" s="194"/>
      <c r="I16" s="194"/>
      <c r="J16" s="195"/>
      <c r="K16" s="97">
        <f t="shared" si="0"/>
        <v>0</v>
      </c>
      <c r="L16" s="98">
        <f t="shared" si="1"/>
        <v>0</v>
      </c>
      <c r="M16" s="98">
        <f t="shared" si="2"/>
        <v>0</v>
      </c>
      <c r="N16" s="98">
        <f t="shared" si="3"/>
        <v>0</v>
      </c>
      <c r="O16" s="98">
        <f t="shared" si="4"/>
        <v>0</v>
      </c>
      <c r="P16" s="99">
        <f t="shared" si="4"/>
        <v>0</v>
      </c>
    </row>
    <row r="17" spans="2:16" x14ac:dyDescent="0.2">
      <c r="B17" s="88"/>
      <c r="C17" s="188"/>
      <c r="D17" s="189"/>
      <c r="E17" s="193"/>
      <c r="F17" s="194"/>
      <c r="G17" s="194"/>
      <c r="H17" s="194"/>
      <c r="I17" s="194"/>
      <c r="J17" s="195"/>
      <c r="K17" s="97">
        <f t="shared" si="0"/>
        <v>0</v>
      </c>
      <c r="L17" s="98">
        <f t="shared" si="1"/>
        <v>0</v>
      </c>
      <c r="M17" s="98">
        <f t="shared" si="2"/>
        <v>0</v>
      </c>
      <c r="N17" s="98">
        <f t="shared" si="3"/>
        <v>0</v>
      </c>
      <c r="O17" s="98">
        <f t="shared" si="4"/>
        <v>0</v>
      </c>
      <c r="P17" s="99">
        <f t="shared" si="4"/>
        <v>0</v>
      </c>
    </row>
    <row r="18" spans="2:16" x14ac:dyDescent="0.2">
      <c r="B18" s="88"/>
      <c r="C18" s="188"/>
      <c r="D18" s="189"/>
      <c r="E18" s="193"/>
      <c r="F18" s="194"/>
      <c r="G18" s="194"/>
      <c r="H18" s="194"/>
      <c r="I18" s="194"/>
      <c r="J18" s="195"/>
      <c r="K18" s="97">
        <f t="shared" si="0"/>
        <v>0</v>
      </c>
      <c r="L18" s="98">
        <f t="shared" si="1"/>
        <v>0</v>
      </c>
      <c r="M18" s="98">
        <f t="shared" si="2"/>
        <v>0</v>
      </c>
      <c r="N18" s="98">
        <f t="shared" si="3"/>
        <v>0</v>
      </c>
      <c r="O18" s="98">
        <f t="shared" si="4"/>
        <v>0</v>
      </c>
      <c r="P18" s="99">
        <f t="shared" si="4"/>
        <v>0</v>
      </c>
    </row>
    <row r="19" spans="2:16" x14ac:dyDescent="0.2">
      <c r="B19" s="88"/>
      <c r="C19" s="188"/>
      <c r="D19" s="189"/>
      <c r="E19" s="193"/>
      <c r="F19" s="194"/>
      <c r="G19" s="194"/>
      <c r="H19" s="194"/>
      <c r="I19" s="194"/>
      <c r="J19" s="195"/>
      <c r="K19" s="97">
        <f t="shared" si="0"/>
        <v>0</v>
      </c>
      <c r="L19" s="98">
        <f t="shared" si="1"/>
        <v>0</v>
      </c>
      <c r="M19" s="98">
        <f t="shared" si="2"/>
        <v>0</v>
      </c>
      <c r="N19" s="98">
        <f t="shared" si="3"/>
        <v>0</v>
      </c>
      <c r="O19" s="98">
        <f t="shared" si="4"/>
        <v>0</v>
      </c>
      <c r="P19" s="99">
        <f t="shared" si="4"/>
        <v>0</v>
      </c>
    </row>
    <row r="20" spans="2:16" x14ac:dyDescent="0.2">
      <c r="B20" s="88"/>
      <c r="C20" s="188"/>
      <c r="D20" s="189"/>
      <c r="E20" s="193"/>
      <c r="F20" s="194"/>
      <c r="G20" s="194"/>
      <c r="H20" s="194"/>
      <c r="I20" s="194"/>
      <c r="J20" s="195"/>
      <c r="K20" s="97">
        <f t="shared" si="0"/>
        <v>0</v>
      </c>
      <c r="L20" s="98">
        <f t="shared" si="1"/>
        <v>0</v>
      </c>
      <c r="M20" s="98">
        <f t="shared" si="2"/>
        <v>0</v>
      </c>
      <c r="N20" s="98">
        <f t="shared" si="3"/>
        <v>0</v>
      </c>
      <c r="O20" s="98">
        <f t="shared" si="4"/>
        <v>0</v>
      </c>
      <c r="P20" s="99">
        <f t="shared" si="4"/>
        <v>0</v>
      </c>
    </row>
    <row r="21" spans="2:16" x14ac:dyDescent="0.2">
      <c r="B21" s="88"/>
      <c r="C21" s="188"/>
      <c r="D21" s="189"/>
      <c r="E21" s="193"/>
      <c r="F21" s="194"/>
      <c r="G21" s="194"/>
      <c r="H21" s="194"/>
      <c r="I21" s="194"/>
      <c r="J21" s="195"/>
      <c r="K21" s="97">
        <f t="shared" si="0"/>
        <v>0</v>
      </c>
      <c r="L21" s="98">
        <f t="shared" si="1"/>
        <v>0</v>
      </c>
      <c r="M21" s="98">
        <f t="shared" si="2"/>
        <v>0</v>
      </c>
      <c r="N21" s="98">
        <f t="shared" si="3"/>
        <v>0</v>
      </c>
      <c r="O21" s="98">
        <f t="shared" si="4"/>
        <v>0</v>
      </c>
      <c r="P21" s="99">
        <f t="shared" si="4"/>
        <v>0</v>
      </c>
    </row>
    <row r="22" spans="2:16" x14ac:dyDescent="0.2">
      <c r="B22" s="88"/>
      <c r="C22" s="219"/>
      <c r="D22" s="218"/>
      <c r="E22" s="196"/>
      <c r="F22" s="197"/>
      <c r="G22" s="197"/>
      <c r="H22" s="197"/>
      <c r="I22" s="197"/>
      <c r="J22" s="198"/>
      <c r="K22" s="100">
        <f t="shared" si="0"/>
        <v>0</v>
      </c>
      <c r="L22" s="101">
        <f t="shared" si="1"/>
        <v>0</v>
      </c>
      <c r="M22" s="101">
        <f t="shared" si="2"/>
        <v>0</v>
      </c>
      <c r="N22" s="101">
        <f t="shared" si="3"/>
        <v>0</v>
      </c>
      <c r="O22" s="101">
        <f t="shared" si="4"/>
        <v>0</v>
      </c>
      <c r="P22" s="102">
        <f t="shared" si="4"/>
        <v>0</v>
      </c>
    </row>
    <row r="23" spans="2:16" x14ac:dyDescent="0.2">
      <c r="B23" s="88"/>
      <c r="C23" s="212" t="s">
        <v>1</v>
      </c>
      <c r="D23" s="143"/>
      <c r="E23" s="143"/>
      <c r="F23" s="143"/>
      <c r="G23" s="143"/>
      <c r="H23" s="143"/>
      <c r="I23" s="143"/>
      <c r="J23" s="143"/>
      <c r="K23" s="144">
        <f t="shared" ref="K23:P23" si="5">SUM(K13:K22)</f>
        <v>0</v>
      </c>
      <c r="L23" s="144">
        <f t="shared" si="5"/>
        <v>0</v>
      </c>
      <c r="M23" s="144">
        <f t="shared" si="5"/>
        <v>0</v>
      </c>
      <c r="N23" s="144">
        <f t="shared" si="5"/>
        <v>0</v>
      </c>
      <c r="O23" s="144">
        <f t="shared" si="5"/>
        <v>0</v>
      </c>
      <c r="P23" s="144">
        <f t="shared" si="5"/>
        <v>0</v>
      </c>
    </row>
    <row r="24" spans="2:16" x14ac:dyDescent="0.2">
      <c r="B24" s="88"/>
      <c r="C24" s="222" t="s">
        <v>289</v>
      </c>
      <c r="D24" s="223" t="s">
        <v>291</v>
      </c>
      <c r="E24" s="145"/>
      <c r="F24" s="146"/>
      <c r="G24" s="146"/>
      <c r="H24" s="146"/>
      <c r="I24" s="146"/>
      <c r="J24" s="148"/>
      <c r="K24" s="147"/>
      <c r="L24" s="148"/>
      <c r="M24" s="148"/>
      <c r="N24" s="148"/>
      <c r="O24" s="148"/>
      <c r="P24" s="148"/>
    </row>
    <row r="25" spans="2:16" ht="14.25" x14ac:dyDescent="0.2">
      <c r="B25" s="194">
        <v>20</v>
      </c>
      <c r="C25" s="220"/>
      <c r="D25" s="221"/>
      <c r="E25" s="199"/>
      <c r="F25" s="191"/>
      <c r="G25" s="191"/>
      <c r="H25" s="191"/>
      <c r="I25" s="191"/>
      <c r="J25" s="192"/>
      <c r="K25" s="94">
        <f t="shared" ref="K25:K34" si="6">+$D25*E25*H$7</f>
        <v>0</v>
      </c>
      <c r="L25" s="95">
        <f t="shared" ref="L25:L34" si="7">+$D25*F25*K$7</f>
        <v>0</v>
      </c>
      <c r="M25" s="95">
        <f t="shared" ref="M25:M34" si="8">+$D25*G25*L$7</f>
        <v>0</v>
      </c>
      <c r="N25" s="95">
        <f t="shared" ref="N25:N34" si="9">+$D25*H25*M$7</f>
        <v>0</v>
      </c>
      <c r="O25" s="95">
        <f t="shared" ref="O25:P34" si="10">+$D25*I25*N$7</f>
        <v>0</v>
      </c>
      <c r="P25" s="96">
        <f>+$D25*J25*O$7</f>
        <v>0</v>
      </c>
    </row>
    <row r="26" spans="2:16" x14ac:dyDescent="0.2">
      <c r="B26" s="194">
        <v>20</v>
      </c>
      <c r="C26" s="200"/>
      <c r="D26" s="216"/>
      <c r="E26" s="193"/>
      <c r="F26" s="194"/>
      <c r="G26" s="194"/>
      <c r="H26" s="194"/>
      <c r="I26" s="194"/>
      <c r="J26" s="195"/>
      <c r="K26" s="97">
        <f t="shared" si="6"/>
        <v>0</v>
      </c>
      <c r="L26" s="98">
        <f t="shared" si="7"/>
        <v>0</v>
      </c>
      <c r="M26" s="98">
        <f t="shared" si="8"/>
        <v>0</v>
      </c>
      <c r="N26" s="98">
        <f t="shared" si="9"/>
        <v>0</v>
      </c>
      <c r="O26" s="98">
        <f t="shared" si="10"/>
        <v>0</v>
      </c>
      <c r="P26" s="99">
        <f t="shared" si="10"/>
        <v>0</v>
      </c>
    </row>
    <row r="27" spans="2:16" x14ac:dyDescent="0.2">
      <c r="B27" s="194">
        <v>20</v>
      </c>
      <c r="C27" s="200"/>
      <c r="D27" s="216"/>
      <c r="E27" s="193"/>
      <c r="F27" s="194"/>
      <c r="G27" s="194"/>
      <c r="H27" s="194"/>
      <c r="I27" s="194"/>
      <c r="J27" s="195"/>
      <c r="K27" s="97">
        <f t="shared" si="6"/>
        <v>0</v>
      </c>
      <c r="L27" s="98">
        <f t="shared" si="7"/>
        <v>0</v>
      </c>
      <c r="M27" s="98">
        <f t="shared" si="8"/>
        <v>0</v>
      </c>
      <c r="N27" s="98">
        <f t="shared" si="9"/>
        <v>0</v>
      </c>
      <c r="O27" s="98">
        <f t="shared" si="10"/>
        <v>0</v>
      </c>
      <c r="P27" s="99">
        <f t="shared" si="10"/>
        <v>0</v>
      </c>
    </row>
    <row r="28" spans="2:16" x14ac:dyDescent="0.2">
      <c r="B28" s="194">
        <v>20</v>
      </c>
      <c r="C28" s="200"/>
      <c r="D28" s="216"/>
      <c r="E28" s="193"/>
      <c r="F28" s="194"/>
      <c r="G28" s="194"/>
      <c r="H28" s="194"/>
      <c r="I28" s="194"/>
      <c r="J28" s="195"/>
      <c r="K28" s="97">
        <f t="shared" si="6"/>
        <v>0</v>
      </c>
      <c r="L28" s="98">
        <f t="shared" si="7"/>
        <v>0</v>
      </c>
      <c r="M28" s="98">
        <f t="shared" si="8"/>
        <v>0</v>
      </c>
      <c r="N28" s="98">
        <f t="shared" si="9"/>
        <v>0</v>
      </c>
      <c r="O28" s="98">
        <f t="shared" si="10"/>
        <v>0</v>
      </c>
      <c r="P28" s="99">
        <f t="shared" si="10"/>
        <v>0</v>
      </c>
    </row>
    <row r="29" spans="2:16" x14ac:dyDescent="0.2">
      <c r="B29" s="194">
        <v>20</v>
      </c>
      <c r="C29" s="200"/>
      <c r="D29" s="216"/>
      <c r="E29" s="193"/>
      <c r="F29" s="194"/>
      <c r="G29" s="194"/>
      <c r="H29" s="194"/>
      <c r="I29" s="194"/>
      <c r="J29" s="195"/>
      <c r="K29" s="97">
        <f t="shared" si="6"/>
        <v>0</v>
      </c>
      <c r="L29" s="98">
        <f t="shared" si="7"/>
        <v>0</v>
      </c>
      <c r="M29" s="98">
        <f t="shared" si="8"/>
        <v>0</v>
      </c>
      <c r="N29" s="98">
        <f t="shared" si="9"/>
        <v>0</v>
      </c>
      <c r="O29" s="98">
        <f t="shared" si="10"/>
        <v>0</v>
      </c>
      <c r="P29" s="99">
        <f t="shared" si="10"/>
        <v>0</v>
      </c>
    </row>
    <row r="30" spans="2:16" x14ac:dyDescent="0.2">
      <c r="B30" s="194">
        <v>20</v>
      </c>
      <c r="C30" s="200"/>
      <c r="D30" s="216"/>
      <c r="E30" s="193"/>
      <c r="F30" s="194"/>
      <c r="G30" s="194"/>
      <c r="H30" s="194"/>
      <c r="I30" s="194"/>
      <c r="J30" s="195"/>
      <c r="K30" s="97">
        <f t="shared" si="6"/>
        <v>0</v>
      </c>
      <c r="L30" s="98">
        <f t="shared" si="7"/>
        <v>0</v>
      </c>
      <c r="M30" s="98">
        <f t="shared" si="8"/>
        <v>0</v>
      </c>
      <c r="N30" s="98">
        <f t="shared" si="9"/>
        <v>0</v>
      </c>
      <c r="O30" s="98">
        <f t="shared" si="10"/>
        <v>0</v>
      </c>
      <c r="P30" s="99">
        <f t="shared" si="10"/>
        <v>0</v>
      </c>
    </row>
    <row r="31" spans="2:16" x14ac:dyDescent="0.2">
      <c r="B31" s="194">
        <v>20</v>
      </c>
      <c r="C31" s="200"/>
      <c r="D31" s="216"/>
      <c r="E31" s="193"/>
      <c r="F31" s="194"/>
      <c r="G31" s="194"/>
      <c r="H31" s="194"/>
      <c r="I31" s="194"/>
      <c r="J31" s="195"/>
      <c r="K31" s="97">
        <f t="shared" si="6"/>
        <v>0</v>
      </c>
      <c r="L31" s="98">
        <f t="shared" si="7"/>
        <v>0</v>
      </c>
      <c r="M31" s="98">
        <f t="shared" si="8"/>
        <v>0</v>
      </c>
      <c r="N31" s="98">
        <f t="shared" si="9"/>
        <v>0</v>
      </c>
      <c r="O31" s="98">
        <f t="shared" si="10"/>
        <v>0</v>
      </c>
      <c r="P31" s="99">
        <f t="shared" si="10"/>
        <v>0</v>
      </c>
    </row>
    <row r="32" spans="2:16" x14ac:dyDescent="0.2">
      <c r="B32" s="194">
        <v>20</v>
      </c>
      <c r="C32" s="200"/>
      <c r="D32" s="216"/>
      <c r="E32" s="193"/>
      <c r="F32" s="194"/>
      <c r="G32" s="194"/>
      <c r="H32" s="194"/>
      <c r="I32" s="194"/>
      <c r="J32" s="195"/>
      <c r="K32" s="97">
        <f t="shared" si="6"/>
        <v>0</v>
      </c>
      <c r="L32" s="98">
        <f t="shared" si="7"/>
        <v>0</v>
      </c>
      <c r="M32" s="98">
        <f t="shared" si="8"/>
        <v>0</v>
      </c>
      <c r="N32" s="98">
        <f t="shared" si="9"/>
        <v>0</v>
      </c>
      <c r="O32" s="98">
        <f t="shared" si="10"/>
        <v>0</v>
      </c>
      <c r="P32" s="99">
        <f t="shared" si="10"/>
        <v>0</v>
      </c>
    </row>
    <row r="33" spans="2:16" x14ac:dyDescent="0.2">
      <c r="B33" s="194">
        <v>20</v>
      </c>
      <c r="C33" s="200"/>
      <c r="D33" s="216"/>
      <c r="E33" s="193"/>
      <c r="F33" s="194"/>
      <c r="G33" s="194"/>
      <c r="H33" s="194"/>
      <c r="I33" s="194"/>
      <c r="J33" s="195"/>
      <c r="K33" s="97">
        <f t="shared" si="6"/>
        <v>0</v>
      </c>
      <c r="L33" s="98">
        <f t="shared" si="7"/>
        <v>0</v>
      </c>
      <c r="M33" s="98">
        <f t="shared" si="8"/>
        <v>0</v>
      </c>
      <c r="N33" s="98">
        <f t="shared" si="9"/>
        <v>0</v>
      </c>
      <c r="O33" s="98">
        <f t="shared" si="10"/>
        <v>0</v>
      </c>
      <c r="P33" s="99">
        <f t="shared" si="10"/>
        <v>0</v>
      </c>
    </row>
    <row r="34" spans="2:16" x14ac:dyDescent="0.2">
      <c r="B34" s="197">
        <v>20</v>
      </c>
      <c r="C34" s="217"/>
      <c r="D34" s="218"/>
      <c r="E34" s="196"/>
      <c r="F34" s="197"/>
      <c r="G34" s="197"/>
      <c r="H34" s="197"/>
      <c r="I34" s="197"/>
      <c r="J34" s="198"/>
      <c r="K34" s="100">
        <f t="shared" si="6"/>
        <v>0</v>
      </c>
      <c r="L34" s="101">
        <f t="shared" si="7"/>
        <v>0</v>
      </c>
      <c r="M34" s="101">
        <f t="shared" si="8"/>
        <v>0</v>
      </c>
      <c r="N34" s="101">
        <f t="shared" si="9"/>
        <v>0</v>
      </c>
      <c r="O34" s="101">
        <f t="shared" si="10"/>
        <v>0</v>
      </c>
      <c r="P34" s="102">
        <f t="shared" si="10"/>
        <v>0</v>
      </c>
    </row>
    <row r="35" spans="2:16" x14ac:dyDescent="0.2">
      <c r="B35" s="88"/>
      <c r="C35" s="212" t="s">
        <v>1</v>
      </c>
      <c r="D35" s="170">
        <f>SUM(D25:D34)</f>
        <v>0</v>
      </c>
      <c r="E35" s="143"/>
      <c r="F35" s="143"/>
      <c r="G35" s="143"/>
      <c r="H35" s="143"/>
      <c r="I35" s="143"/>
      <c r="J35" s="143"/>
      <c r="K35" s="144">
        <f t="shared" ref="K35:P35" si="11">SUM(K25:K34)</f>
        <v>0</v>
      </c>
      <c r="L35" s="144">
        <f t="shared" si="11"/>
        <v>0</v>
      </c>
      <c r="M35" s="144">
        <f t="shared" si="11"/>
        <v>0</v>
      </c>
      <c r="N35" s="144">
        <f t="shared" si="11"/>
        <v>0</v>
      </c>
      <c r="O35" s="144">
        <f t="shared" si="11"/>
        <v>0</v>
      </c>
      <c r="P35" s="144">
        <f t="shared" si="11"/>
        <v>0</v>
      </c>
    </row>
    <row r="36" spans="2:16" s="24" customFormat="1" x14ac:dyDescent="0.2">
      <c r="B36" s="103"/>
      <c r="C36" s="123" t="s">
        <v>70</v>
      </c>
      <c r="D36" s="146" t="s">
        <v>291</v>
      </c>
      <c r="E36" s="147"/>
      <c r="F36" s="148"/>
      <c r="G36" s="148"/>
      <c r="H36" s="148"/>
      <c r="I36" s="148"/>
      <c r="J36" s="148"/>
      <c r="K36" s="147"/>
      <c r="L36" s="148"/>
      <c r="M36" s="148"/>
      <c r="N36" s="148"/>
      <c r="O36" s="148"/>
      <c r="P36" s="148"/>
    </row>
    <row r="37" spans="2:16" ht="14.25" x14ac:dyDescent="0.2">
      <c r="B37" s="194">
        <v>5</v>
      </c>
      <c r="C37" s="237" t="s">
        <v>430</v>
      </c>
      <c r="D37" s="238">
        <v>14300000</v>
      </c>
      <c r="E37" s="203">
        <v>1</v>
      </c>
      <c r="F37" s="191"/>
      <c r="G37" s="191"/>
      <c r="H37" s="191"/>
      <c r="I37" s="191"/>
      <c r="J37" s="192"/>
      <c r="K37" s="94">
        <f>+$D37*E37*H$7</f>
        <v>14300000</v>
      </c>
      <c r="L37" s="95">
        <f t="shared" ref="L37:L57" si="12">+$D37*F37*K$7</f>
        <v>0</v>
      </c>
      <c r="M37" s="95">
        <f t="shared" ref="M37:M57" si="13">+$D37*G37*L$7</f>
        <v>0</v>
      </c>
      <c r="N37" s="95">
        <f t="shared" ref="N37:N57" si="14">+$D37*H37*M$7</f>
        <v>0</v>
      </c>
      <c r="O37" s="95">
        <f t="shared" ref="O37:P57" si="15">+$D37*I37*N$7</f>
        <v>0</v>
      </c>
      <c r="P37" s="96">
        <f t="shared" si="15"/>
        <v>0</v>
      </c>
    </row>
    <row r="38" spans="2:16" ht="14.25" x14ac:dyDescent="0.2">
      <c r="B38" s="194">
        <v>5</v>
      </c>
      <c r="C38" s="207" t="s">
        <v>431</v>
      </c>
      <c r="D38" s="208">
        <v>110000</v>
      </c>
      <c r="E38" s="203">
        <v>2</v>
      </c>
      <c r="F38" s="194"/>
      <c r="G38" s="194"/>
      <c r="H38" s="194"/>
      <c r="I38" s="194"/>
      <c r="J38" s="195"/>
      <c r="K38" s="97">
        <f>+$D38*E38*H$7</f>
        <v>220000</v>
      </c>
      <c r="L38" s="98">
        <f t="shared" si="12"/>
        <v>0</v>
      </c>
      <c r="M38" s="98">
        <f t="shared" si="13"/>
        <v>0</v>
      </c>
      <c r="N38" s="98">
        <f t="shared" si="14"/>
        <v>0</v>
      </c>
      <c r="O38" s="98">
        <f t="shared" si="15"/>
        <v>0</v>
      </c>
      <c r="P38" s="99">
        <f t="shared" si="15"/>
        <v>0</v>
      </c>
    </row>
    <row r="39" spans="2:16" ht="14.25" x14ac:dyDescent="0.2">
      <c r="B39" s="194">
        <v>5</v>
      </c>
      <c r="C39" s="207" t="s">
        <v>432</v>
      </c>
      <c r="D39" s="211">
        <v>2100000</v>
      </c>
      <c r="E39" s="203">
        <v>2</v>
      </c>
      <c r="F39" s="194"/>
      <c r="G39" s="194"/>
      <c r="H39" s="194"/>
      <c r="I39" s="194"/>
      <c r="J39" s="195"/>
      <c r="K39" s="97">
        <f>+$D39*E39*H$7</f>
        <v>4200000</v>
      </c>
      <c r="L39" s="98">
        <f t="shared" si="12"/>
        <v>0</v>
      </c>
      <c r="M39" s="98">
        <f t="shared" si="13"/>
        <v>0</v>
      </c>
      <c r="N39" s="98">
        <f t="shared" si="14"/>
        <v>0</v>
      </c>
      <c r="O39" s="98">
        <f t="shared" si="15"/>
        <v>0</v>
      </c>
      <c r="P39" s="99">
        <f t="shared" si="15"/>
        <v>0</v>
      </c>
    </row>
    <row r="40" spans="2:16" ht="14.25" x14ac:dyDescent="0.2">
      <c r="B40" s="194">
        <v>5</v>
      </c>
      <c r="C40" s="240" t="s">
        <v>433</v>
      </c>
      <c r="D40" s="211">
        <v>500000</v>
      </c>
      <c r="E40" s="203">
        <v>1</v>
      </c>
      <c r="F40" s="194"/>
      <c r="G40" s="194"/>
      <c r="H40" s="194"/>
      <c r="I40" s="194"/>
      <c r="J40" s="195"/>
      <c r="K40" s="97">
        <f>+$D40*E40*H$7</f>
        <v>500000</v>
      </c>
      <c r="L40" s="98">
        <f t="shared" si="12"/>
        <v>0</v>
      </c>
      <c r="M40" s="98">
        <f t="shared" si="13"/>
        <v>0</v>
      </c>
      <c r="N40" s="98">
        <f t="shared" si="14"/>
        <v>0</v>
      </c>
      <c r="O40" s="98">
        <f t="shared" si="15"/>
        <v>0</v>
      </c>
      <c r="P40" s="99">
        <f t="shared" si="15"/>
        <v>0</v>
      </c>
    </row>
    <row r="41" spans="2:16" ht="14.25" x14ac:dyDescent="0.2">
      <c r="B41" s="194">
        <v>5</v>
      </c>
      <c r="C41" s="240" t="s">
        <v>434</v>
      </c>
      <c r="D41" s="211">
        <v>350000</v>
      </c>
      <c r="E41" s="203">
        <v>1</v>
      </c>
      <c r="F41" s="194"/>
      <c r="G41" s="194"/>
      <c r="H41" s="194"/>
      <c r="I41" s="194"/>
      <c r="J41" s="195"/>
      <c r="K41" s="97">
        <f>+$D41*E41*H$7</f>
        <v>350000</v>
      </c>
      <c r="L41" s="98">
        <f t="shared" si="12"/>
        <v>0</v>
      </c>
      <c r="M41" s="98">
        <f t="shared" si="13"/>
        <v>0</v>
      </c>
      <c r="N41" s="98">
        <f t="shared" si="14"/>
        <v>0</v>
      </c>
      <c r="O41" s="98">
        <f t="shared" si="15"/>
        <v>0</v>
      </c>
      <c r="P41" s="99">
        <f t="shared" si="15"/>
        <v>0</v>
      </c>
    </row>
    <row r="42" spans="2:16" ht="14.25" x14ac:dyDescent="0.2">
      <c r="B42" s="194">
        <v>5</v>
      </c>
      <c r="C42" s="201" t="s">
        <v>435</v>
      </c>
      <c r="D42" s="202">
        <v>2300000</v>
      </c>
      <c r="E42" s="203">
        <v>3</v>
      </c>
      <c r="F42" s="194"/>
      <c r="G42" s="194"/>
      <c r="H42" s="194"/>
      <c r="I42" s="194"/>
      <c r="J42" s="195"/>
      <c r="K42" s="97">
        <f t="shared" ref="K42:K57" si="16">+$D42*E42*H$7</f>
        <v>6900000</v>
      </c>
      <c r="L42" s="98">
        <f t="shared" si="12"/>
        <v>0</v>
      </c>
      <c r="M42" s="98">
        <f t="shared" si="13"/>
        <v>0</v>
      </c>
      <c r="N42" s="98">
        <f t="shared" si="14"/>
        <v>0</v>
      </c>
      <c r="O42" s="98">
        <f t="shared" si="15"/>
        <v>0</v>
      </c>
      <c r="P42" s="99">
        <f t="shared" si="15"/>
        <v>0</v>
      </c>
    </row>
    <row r="43" spans="2:16" ht="14.25" x14ac:dyDescent="0.2">
      <c r="B43" s="194">
        <v>5</v>
      </c>
      <c r="C43" s="201" t="s">
        <v>436</v>
      </c>
      <c r="D43" s="202">
        <v>800000</v>
      </c>
      <c r="E43" s="203">
        <v>1</v>
      </c>
      <c r="F43" s="194"/>
      <c r="G43" s="194"/>
      <c r="H43" s="194"/>
      <c r="I43" s="194"/>
      <c r="J43" s="195"/>
      <c r="K43" s="97">
        <f t="shared" si="16"/>
        <v>800000</v>
      </c>
      <c r="L43" s="98">
        <f t="shared" si="12"/>
        <v>0</v>
      </c>
      <c r="M43" s="98">
        <f t="shared" si="13"/>
        <v>0</v>
      </c>
      <c r="N43" s="98">
        <f t="shared" si="14"/>
        <v>0</v>
      </c>
      <c r="O43" s="98">
        <f t="shared" si="15"/>
        <v>0</v>
      </c>
      <c r="P43" s="99">
        <f t="shared" si="15"/>
        <v>0</v>
      </c>
    </row>
    <row r="44" spans="2:16" ht="14.25" x14ac:dyDescent="0.2">
      <c r="B44" s="194">
        <v>5</v>
      </c>
      <c r="C44" s="201" t="s">
        <v>437</v>
      </c>
      <c r="D44" s="202">
        <v>4000000</v>
      </c>
      <c r="E44" s="203">
        <v>1</v>
      </c>
      <c r="F44" s="194"/>
      <c r="G44" s="194"/>
      <c r="H44" s="194"/>
      <c r="I44" s="194"/>
      <c r="J44" s="195"/>
      <c r="K44" s="97">
        <f t="shared" si="16"/>
        <v>4000000</v>
      </c>
      <c r="L44" s="98">
        <f t="shared" si="12"/>
        <v>0</v>
      </c>
      <c r="M44" s="98">
        <f t="shared" si="13"/>
        <v>0</v>
      </c>
      <c r="N44" s="98">
        <f t="shared" si="14"/>
        <v>0</v>
      </c>
      <c r="O44" s="98">
        <f t="shared" si="15"/>
        <v>0</v>
      </c>
      <c r="P44" s="99">
        <f t="shared" si="15"/>
        <v>0</v>
      </c>
    </row>
    <row r="45" spans="2:16" ht="14.25" x14ac:dyDescent="0.2">
      <c r="B45" s="194">
        <v>5</v>
      </c>
      <c r="C45" s="201" t="s">
        <v>438</v>
      </c>
      <c r="D45" s="202">
        <v>15000000</v>
      </c>
      <c r="E45" s="203">
        <v>2</v>
      </c>
      <c r="F45" s="194"/>
      <c r="G45" s="194"/>
      <c r="H45" s="194"/>
      <c r="I45" s="194"/>
      <c r="J45" s="195"/>
      <c r="K45" s="97">
        <f t="shared" si="16"/>
        <v>30000000</v>
      </c>
      <c r="L45" s="98">
        <f t="shared" si="12"/>
        <v>0</v>
      </c>
      <c r="M45" s="98">
        <f t="shared" si="13"/>
        <v>0</v>
      </c>
      <c r="N45" s="98">
        <f t="shared" si="14"/>
        <v>0</v>
      </c>
      <c r="O45" s="98">
        <f t="shared" si="15"/>
        <v>0</v>
      </c>
      <c r="P45" s="99">
        <f t="shared" si="15"/>
        <v>0</v>
      </c>
    </row>
    <row r="46" spans="2:16" ht="14.25" x14ac:dyDescent="0.2">
      <c r="B46" s="194">
        <v>5</v>
      </c>
      <c r="C46" s="201" t="s">
        <v>439</v>
      </c>
      <c r="D46" s="202">
        <v>1500000</v>
      </c>
      <c r="E46" s="203">
        <v>1</v>
      </c>
      <c r="F46" s="194"/>
      <c r="G46" s="194"/>
      <c r="H46" s="194"/>
      <c r="I46" s="194"/>
      <c r="J46" s="195"/>
      <c r="K46" s="97">
        <f t="shared" si="16"/>
        <v>1500000</v>
      </c>
      <c r="L46" s="98">
        <f t="shared" si="12"/>
        <v>0</v>
      </c>
      <c r="M46" s="98">
        <f t="shared" si="13"/>
        <v>0</v>
      </c>
      <c r="N46" s="98">
        <f t="shared" si="14"/>
        <v>0</v>
      </c>
      <c r="O46" s="98">
        <f t="shared" si="15"/>
        <v>0</v>
      </c>
      <c r="P46" s="99">
        <f t="shared" si="15"/>
        <v>0</v>
      </c>
    </row>
    <row r="47" spans="2:16" ht="14.25" x14ac:dyDescent="0.2">
      <c r="B47" s="194">
        <v>5</v>
      </c>
      <c r="C47" s="201" t="s">
        <v>440</v>
      </c>
      <c r="D47" s="202">
        <v>2000000</v>
      </c>
      <c r="E47" s="203">
        <v>1</v>
      </c>
      <c r="F47" s="194"/>
      <c r="G47" s="194"/>
      <c r="H47" s="194"/>
      <c r="I47" s="194"/>
      <c r="J47" s="195"/>
      <c r="K47" s="97">
        <f t="shared" si="16"/>
        <v>2000000</v>
      </c>
      <c r="L47" s="98">
        <f t="shared" si="12"/>
        <v>0</v>
      </c>
      <c r="M47" s="98">
        <f t="shared" si="13"/>
        <v>0</v>
      </c>
      <c r="N47" s="98">
        <f t="shared" si="14"/>
        <v>0</v>
      </c>
      <c r="O47" s="98">
        <f t="shared" si="15"/>
        <v>0</v>
      </c>
      <c r="P47" s="99">
        <f t="shared" si="15"/>
        <v>0</v>
      </c>
    </row>
    <row r="48" spans="2:16" ht="14.25" x14ac:dyDescent="0.2">
      <c r="B48" s="194">
        <v>10</v>
      </c>
      <c r="C48" s="201"/>
      <c r="D48" s="202"/>
      <c r="E48" s="203"/>
      <c r="F48" s="194"/>
      <c r="G48" s="194"/>
      <c r="H48" s="194"/>
      <c r="I48" s="194"/>
      <c r="J48" s="195"/>
      <c r="K48" s="97">
        <f t="shared" si="16"/>
        <v>0</v>
      </c>
      <c r="L48" s="98">
        <f t="shared" si="12"/>
        <v>0</v>
      </c>
      <c r="M48" s="98">
        <f t="shared" si="13"/>
        <v>0</v>
      </c>
      <c r="N48" s="98">
        <f t="shared" si="14"/>
        <v>0</v>
      </c>
      <c r="O48" s="98">
        <f t="shared" si="15"/>
        <v>0</v>
      </c>
      <c r="P48" s="99">
        <f t="shared" si="15"/>
        <v>0</v>
      </c>
    </row>
    <row r="49" spans="2:16" ht="14.25" x14ac:dyDescent="0.2">
      <c r="B49" s="194">
        <v>10</v>
      </c>
      <c r="C49" s="201"/>
      <c r="D49" s="202"/>
      <c r="E49" s="203"/>
      <c r="F49" s="194"/>
      <c r="G49" s="194"/>
      <c r="H49" s="194"/>
      <c r="I49" s="194"/>
      <c r="J49" s="195"/>
      <c r="K49" s="97">
        <f t="shared" si="16"/>
        <v>0</v>
      </c>
      <c r="L49" s="98">
        <f t="shared" si="12"/>
        <v>0</v>
      </c>
      <c r="M49" s="98">
        <f t="shared" si="13"/>
        <v>0</v>
      </c>
      <c r="N49" s="98">
        <f t="shared" si="14"/>
        <v>0</v>
      </c>
      <c r="O49" s="98">
        <f t="shared" si="15"/>
        <v>0</v>
      </c>
      <c r="P49" s="99">
        <f t="shared" si="15"/>
        <v>0</v>
      </c>
    </row>
    <row r="50" spans="2:16" ht="14.25" x14ac:dyDescent="0.2">
      <c r="B50" s="194">
        <v>10</v>
      </c>
      <c r="C50" s="201"/>
      <c r="D50" s="202"/>
      <c r="E50" s="203"/>
      <c r="F50" s="194"/>
      <c r="G50" s="194"/>
      <c r="H50" s="194"/>
      <c r="I50" s="194"/>
      <c r="J50" s="195"/>
      <c r="K50" s="97">
        <f t="shared" si="16"/>
        <v>0</v>
      </c>
      <c r="L50" s="98">
        <f t="shared" si="12"/>
        <v>0</v>
      </c>
      <c r="M50" s="98">
        <f t="shared" si="13"/>
        <v>0</v>
      </c>
      <c r="N50" s="98">
        <f t="shared" si="14"/>
        <v>0</v>
      </c>
      <c r="O50" s="98">
        <f t="shared" si="15"/>
        <v>0</v>
      </c>
      <c r="P50" s="99">
        <f t="shared" si="15"/>
        <v>0</v>
      </c>
    </row>
    <row r="51" spans="2:16" ht="14.25" x14ac:dyDescent="0.2">
      <c r="B51" s="194">
        <v>10</v>
      </c>
      <c r="C51" s="201"/>
      <c r="D51" s="202"/>
      <c r="E51" s="203"/>
      <c r="F51" s="194"/>
      <c r="G51" s="194"/>
      <c r="H51" s="194"/>
      <c r="I51" s="194"/>
      <c r="J51" s="195"/>
      <c r="K51" s="97">
        <f t="shared" si="16"/>
        <v>0</v>
      </c>
      <c r="L51" s="98">
        <f t="shared" si="12"/>
        <v>0</v>
      </c>
      <c r="M51" s="98">
        <f t="shared" si="13"/>
        <v>0</v>
      </c>
      <c r="N51" s="98">
        <f t="shared" si="14"/>
        <v>0</v>
      </c>
      <c r="O51" s="98">
        <f t="shared" si="15"/>
        <v>0</v>
      </c>
      <c r="P51" s="99">
        <f t="shared" si="15"/>
        <v>0</v>
      </c>
    </row>
    <row r="52" spans="2:16" ht="14.25" x14ac:dyDescent="0.2">
      <c r="B52" s="194">
        <v>10</v>
      </c>
      <c r="C52" s="204"/>
      <c r="D52" s="205"/>
      <c r="E52" s="206"/>
      <c r="F52" s="194"/>
      <c r="G52" s="194"/>
      <c r="H52" s="194"/>
      <c r="I52" s="194"/>
      <c r="J52" s="195"/>
      <c r="K52" s="97">
        <f t="shared" si="16"/>
        <v>0</v>
      </c>
      <c r="L52" s="98">
        <f t="shared" si="12"/>
        <v>0</v>
      </c>
      <c r="M52" s="98">
        <f t="shared" si="13"/>
        <v>0</v>
      </c>
      <c r="N52" s="98">
        <f t="shared" si="14"/>
        <v>0</v>
      </c>
      <c r="O52" s="98">
        <f t="shared" si="15"/>
        <v>0</v>
      </c>
      <c r="P52" s="99">
        <f t="shared" si="15"/>
        <v>0</v>
      </c>
    </row>
    <row r="53" spans="2:16" ht="14.25" x14ac:dyDescent="0.2">
      <c r="B53" s="194">
        <v>10</v>
      </c>
      <c r="C53" s="204"/>
      <c r="D53" s="205"/>
      <c r="E53" s="206"/>
      <c r="F53" s="194"/>
      <c r="G53" s="194"/>
      <c r="H53" s="194"/>
      <c r="I53" s="194"/>
      <c r="J53" s="195"/>
      <c r="K53" s="97">
        <f t="shared" si="16"/>
        <v>0</v>
      </c>
      <c r="L53" s="98">
        <f t="shared" si="12"/>
        <v>0</v>
      </c>
      <c r="M53" s="98">
        <f t="shared" si="13"/>
        <v>0</v>
      </c>
      <c r="N53" s="98">
        <f t="shared" si="14"/>
        <v>0</v>
      </c>
      <c r="O53" s="98">
        <f t="shared" si="15"/>
        <v>0</v>
      </c>
      <c r="P53" s="99">
        <f t="shared" si="15"/>
        <v>0</v>
      </c>
    </row>
    <row r="54" spans="2:16" x14ac:dyDescent="0.2">
      <c r="B54" s="194">
        <v>10</v>
      </c>
      <c r="C54" s="207"/>
      <c r="D54" s="208"/>
      <c r="E54" s="209"/>
      <c r="F54" s="194"/>
      <c r="G54" s="194"/>
      <c r="H54" s="194"/>
      <c r="I54" s="194"/>
      <c r="J54" s="195"/>
      <c r="K54" s="97">
        <f t="shared" si="16"/>
        <v>0</v>
      </c>
      <c r="L54" s="98">
        <f t="shared" si="12"/>
        <v>0</v>
      </c>
      <c r="M54" s="98">
        <f t="shared" si="13"/>
        <v>0</v>
      </c>
      <c r="N54" s="98">
        <f t="shared" si="14"/>
        <v>0</v>
      </c>
      <c r="O54" s="98">
        <f t="shared" si="15"/>
        <v>0</v>
      </c>
      <c r="P54" s="99">
        <f t="shared" si="15"/>
        <v>0</v>
      </c>
    </row>
    <row r="55" spans="2:16" x14ac:dyDescent="0.2">
      <c r="B55" s="194">
        <v>10</v>
      </c>
      <c r="C55" s="210"/>
      <c r="D55" s="211"/>
      <c r="E55" s="193"/>
      <c r="F55" s="194"/>
      <c r="G55" s="194"/>
      <c r="H55" s="194"/>
      <c r="I55" s="194"/>
      <c r="J55" s="195"/>
      <c r="K55" s="97">
        <f t="shared" si="16"/>
        <v>0</v>
      </c>
      <c r="L55" s="98">
        <f t="shared" si="12"/>
        <v>0</v>
      </c>
      <c r="M55" s="98">
        <f t="shared" si="13"/>
        <v>0</v>
      </c>
      <c r="N55" s="98">
        <f t="shared" si="14"/>
        <v>0</v>
      </c>
      <c r="O55" s="98">
        <f t="shared" si="15"/>
        <v>0</v>
      </c>
      <c r="P55" s="99">
        <f t="shared" si="15"/>
        <v>0</v>
      </c>
    </row>
    <row r="56" spans="2:16" x14ac:dyDescent="0.2">
      <c r="B56" s="194">
        <v>10</v>
      </c>
      <c r="C56" s="210"/>
      <c r="D56" s="211"/>
      <c r="E56" s="193"/>
      <c r="F56" s="194"/>
      <c r="G56" s="194"/>
      <c r="H56" s="194"/>
      <c r="I56" s="194"/>
      <c r="J56" s="195"/>
      <c r="K56" s="97">
        <f t="shared" si="16"/>
        <v>0</v>
      </c>
      <c r="L56" s="98">
        <f t="shared" si="12"/>
        <v>0</v>
      </c>
      <c r="M56" s="98">
        <f t="shared" si="13"/>
        <v>0</v>
      </c>
      <c r="N56" s="98">
        <f t="shared" si="14"/>
        <v>0</v>
      </c>
      <c r="O56" s="98">
        <f t="shared" si="15"/>
        <v>0</v>
      </c>
      <c r="P56" s="99">
        <f t="shared" si="15"/>
        <v>0</v>
      </c>
    </row>
    <row r="57" spans="2:16" x14ac:dyDescent="0.2">
      <c r="B57" s="197">
        <v>10</v>
      </c>
      <c r="C57" s="214"/>
      <c r="D57" s="215"/>
      <c r="E57" s="196"/>
      <c r="F57" s="197"/>
      <c r="G57" s="197"/>
      <c r="H57" s="197"/>
      <c r="I57" s="197"/>
      <c r="J57" s="198"/>
      <c r="K57" s="100">
        <f t="shared" si="16"/>
        <v>0</v>
      </c>
      <c r="L57" s="101">
        <f t="shared" si="12"/>
        <v>0</v>
      </c>
      <c r="M57" s="101">
        <f t="shared" si="13"/>
        <v>0</v>
      </c>
      <c r="N57" s="101">
        <f t="shared" si="14"/>
        <v>0</v>
      </c>
      <c r="O57" s="101">
        <f t="shared" si="15"/>
        <v>0</v>
      </c>
      <c r="P57" s="102">
        <f t="shared" si="15"/>
        <v>0</v>
      </c>
    </row>
    <row r="58" spans="2:16" s="89" customFormat="1" x14ac:dyDescent="0.2">
      <c r="B58" s="104"/>
      <c r="C58" s="212" t="s">
        <v>1</v>
      </c>
      <c r="D58" s="213">
        <f>SUM(D37:D57)</f>
        <v>42960000</v>
      </c>
      <c r="E58" s="149"/>
      <c r="F58" s="149"/>
      <c r="G58" s="149"/>
      <c r="H58" s="149"/>
      <c r="I58" s="149"/>
      <c r="J58" s="149"/>
      <c r="K58" s="150">
        <f t="shared" ref="K58:P58" si="17">SUM(K37:K57)</f>
        <v>64770000</v>
      </c>
      <c r="L58" s="150">
        <f t="shared" si="17"/>
        <v>0</v>
      </c>
      <c r="M58" s="150">
        <f t="shared" si="17"/>
        <v>0</v>
      </c>
      <c r="N58" s="150">
        <f t="shared" si="17"/>
        <v>0</v>
      </c>
      <c r="O58" s="150">
        <f t="shared" si="17"/>
        <v>0</v>
      </c>
      <c r="P58" s="150">
        <f t="shared" si="17"/>
        <v>0</v>
      </c>
    </row>
    <row r="59" spans="2:16" s="24" customFormat="1" x14ac:dyDescent="0.2">
      <c r="B59" s="234"/>
      <c r="C59" s="222" t="s">
        <v>69</v>
      </c>
      <c r="D59" s="223" t="s">
        <v>291</v>
      </c>
      <c r="E59" s="235"/>
      <c r="F59" s="146"/>
      <c r="G59" s="146"/>
      <c r="H59" s="146"/>
      <c r="I59" s="146"/>
      <c r="J59" s="146"/>
      <c r="K59" s="145"/>
      <c r="L59" s="146"/>
      <c r="M59" s="146"/>
      <c r="N59" s="146"/>
      <c r="O59" s="146"/>
      <c r="P59" s="146"/>
    </row>
    <row r="60" spans="2:16" ht="14.25" x14ac:dyDescent="0.2">
      <c r="B60" s="230">
        <v>5</v>
      </c>
      <c r="C60" s="231" t="s">
        <v>518</v>
      </c>
      <c r="D60" s="232">
        <v>1500000</v>
      </c>
      <c r="E60" s="233">
        <v>1</v>
      </c>
      <c r="F60" s="191"/>
      <c r="G60" s="224"/>
      <c r="H60" s="191"/>
      <c r="I60" s="191"/>
      <c r="J60" s="225"/>
      <c r="K60" s="105">
        <f>+$D60*E60*H$7</f>
        <v>1500000</v>
      </c>
      <c r="L60" s="95">
        <f t="shared" ref="L60:L80" si="18">+$D60*F60*K$7</f>
        <v>0</v>
      </c>
      <c r="M60" s="95">
        <f t="shared" ref="M60:M80" si="19">+$D60*G60*L$7</f>
        <v>0</v>
      </c>
      <c r="N60" s="95">
        <f t="shared" ref="N60:N80" si="20">+$D60*H60*M$7</f>
        <v>0</v>
      </c>
      <c r="O60" s="95">
        <f t="shared" ref="O60:P80" si="21">+$D60*I60*N$7</f>
        <v>0</v>
      </c>
      <c r="P60" s="96">
        <f t="shared" si="21"/>
        <v>0</v>
      </c>
    </row>
    <row r="61" spans="2:16" ht="14.25" x14ac:dyDescent="0.2">
      <c r="B61" s="194">
        <v>5</v>
      </c>
      <c r="C61" s="201" t="s">
        <v>519</v>
      </c>
      <c r="D61" s="202">
        <v>1000000</v>
      </c>
      <c r="E61" s="203">
        <v>1</v>
      </c>
      <c r="F61" s="194"/>
      <c r="G61" s="226"/>
      <c r="H61" s="194"/>
      <c r="I61" s="194"/>
      <c r="J61" s="227"/>
      <c r="K61" s="106">
        <f t="shared" ref="K61:K80" si="22">+$D61*E61*H$7</f>
        <v>1000000</v>
      </c>
      <c r="L61" s="98">
        <f t="shared" si="18"/>
        <v>0</v>
      </c>
      <c r="M61" s="98">
        <f t="shared" si="19"/>
        <v>0</v>
      </c>
      <c r="N61" s="98">
        <f t="shared" si="20"/>
        <v>0</v>
      </c>
      <c r="O61" s="98">
        <f t="shared" si="21"/>
        <v>0</v>
      </c>
      <c r="P61" s="99">
        <f t="shared" si="21"/>
        <v>0</v>
      </c>
    </row>
    <row r="62" spans="2:16" ht="14.25" x14ac:dyDescent="0.2">
      <c r="B62" s="194">
        <v>5</v>
      </c>
      <c r="C62" s="201" t="s">
        <v>520</v>
      </c>
      <c r="D62" s="202">
        <v>1000000</v>
      </c>
      <c r="E62" s="203">
        <v>1</v>
      </c>
      <c r="F62" s="194"/>
      <c r="G62" s="226"/>
      <c r="H62" s="194"/>
      <c r="I62" s="194"/>
      <c r="J62" s="227"/>
      <c r="K62" s="106">
        <f t="shared" si="22"/>
        <v>1000000</v>
      </c>
      <c r="L62" s="98">
        <f t="shared" si="18"/>
        <v>0</v>
      </c>
      <c r="M62" s="98">
        <f t="shared" si="19"/>
        <v>0</v>
      </c>
      <c r="N62" s="98">
        <f t="shared" si="20"/>
        <v>0</v>
      </c>
      <c r="O62" s="98">
        <f t="shared" si="21"/>
        <v>0</v>
      </c>
      <c r="P62" s="99">
        <f t="shared" si="21"/>
        <v>0</v>
      </c>
    </row>
    <row r="63" spans="2:16" ht="14.25" x14ac:dyDescent="0.2">
      <c r="B63" s="194">
        <v>5</v>
      </c>
      <c r="C63" s="201" t="s">
        <v>441</v>
      </c>
      <c r="D63" s="202">
        <v>500000</v>
      </c>
      <c r="E63" s="203">
        <v>1</v>
      </c>
      <c r="F63" s="194"/>
      <c r="G63" s="226"/>
      <c r="H63" s="194"/>
      <c r="I63" s="194"/>
      <c r="J63" s="227"/>
      <c r="K63" s="106">
        <f t="shared" si="22"/>
        <v>500000</v>
      </c>
      <c r="L63" s="98">
        <f t="shared" si="18"/>
        <v>0</v>
      </c>
      <c r="M63" s="98">
        <f t="shared" si="19"/>
        <v>0</v>
      </c>
      <c r="N63" s="98">
        <f t="shared" si="20"/>
        <v>0</v>
      </c>
      <c r="O63" s="98">
        <f t="shared" si="21"/>
        <v>0</v>
      </c>
      <c r="P63" s="99">
        <f t="shared" si="21"/>
        <v>0</v>
      </c>
    </row>
    <row r="64" spans="2:16" ht="14.25" x14ac:dyDescent="0.2">
      <c r="B64" s="194">
        <v>5</v>
      </c>
      <c r="C64" s="201" t="s">
        <v>442</v>
      </c>
      <c r="D64" s="202">
        <v>200000</v>
      </c>
      <c r="E64" s="203">
        <v>1</v>
      </c>
      <c r="F64" s="194"/>
      <c r="G64" s="226"/>
      <c r="H64" s="194"/>
      <c r="I64" s="194"/>
      <c r="J64" s="227"/>
      <c r="K64" s="106">
        <f t="shared" si="22"/>
        <v>200000</v>
      </c>
      <c r="L64" s="98">
        <f t="shared" si="18"/>
        <v>0</v>
      </c>
      <c r="M64" s="98">
        <f t="shared" si="19"/>
        <v>0</v>
      </c>
      <c r="N64" s="98">
        <f t="shared" si="20"/>
        <v>0</v>
      </c>
      <c r="O64" s="98">
        <f t="shared" si="21"/>
        <v>0</v>
      </c>
      <c r="P64" s="99">
        <f t="shared" si="21"/>
        <v>0</v>
      </c>
    </row>
    <row r="65" spans="2:16" ht="14.25" x14ac:dyDescent="0.2">
      <c r="B65" s="194">
        <v>5</v>
      </c>
      <c r="C65" s="201" t="s">
        <v>443</v>
      </c>
      <c r="D65" s="202">
        <v>200000</v>
      </c>
      <c r="E65" s="203">
        <v>1</v>
      </c>
      <c r="F65" s="194"/>
      <c r="G65" s="226"/>
      <c r="H65" s="194"/>
      <c r="I65" s="194"/>
      <c r="J65" s="227"/>
      <c r="K65" s="106">
        <f t="shared" si="22"/>
        <v>200000</v>
      </c>
      <c r="L65" s="98">
        <f t="shared" si="18"/>
        <v>0</v>
      </c>
      <c r="M65" s="98">
        <f t="shared" si="19"/>
        <v>0</v>
      </c>
      <c r="N65" s="98">
        <f t="shared" si="20"/>
        <v>0</v>
      </c>
      <c r="O65" s="98">
        <f t="shared" si="21"/>
        <v>0</v>
      </c>
      <c r="P65" s="99">
        <f t="shared" si="21"/>
        <v>0</v>
      </c>
    </row>
    <row r="66" spans="2:16" ht="14.25" x14ac:dyDescent="0.2">
      <c r="B66" s="194">
        <v>5</v>
      </c>
      <c r="C66" s="201" t="s">
        <v>444</v>
      </c>
      <c r="D66" s="202">
        <v>1500000</v>
      </c>
      <c r="E66" s="203">
        <v>1</v>
      </c>
      <c r="F66" s="228"/>
      <c r="G66" s="194"/>
      <c r="H66" s="194"/>
      <c r="I66" s="194"/>
      <c r="J66" s="227"/>
      <c r="K66" s="106">
        <f t="shared" si="22"/>
        <v>1500000</v>
      </c>
      <c r="L66" s="98">
        <f t="shared" si="18"/>
        <v>0</v>
      </c>
      <c r="M66" s="98">
        <f t="shared" si="19"/>
        <v>0</v>
      </c>
      <c r="N66" s="98">
        <f t="shared" si="20"/>
        <v>0</v>
      </c>
      <c r="O66" s="98">
        <f t="shared" si="21"/>
        <v>0</v>
      </c>
      <c r="P66" s="99">
        <f t="shared" si="21"/>
        <v>0</v>
      </c>
    </row>
    <row r="67" spans="2:16" ht="14.25" x14ac:dyDescent="0.2">
      <c r="B67" s="194">
        <v>5</v>
      </c>
      <c r="C67" s="201" t="s">
        <v>445</v>
      </c>
      <c r="D67" s="202">
        <v>70000</v>
      </c>
      <c r="E67" s="203">
        <v>50</v>
      </c>
      <c r="F67" s="228"/>
      <c r="G67" s="194"/>
      <c r="H67" s="194"/>
      <c r="I67" s="194"/>
      <c r="J67" s="227"/>
      <c r="K67" s="106">
        <f t="shared" si="22"/>
        <v>3500000</v>
      </c>
      <c r="L67" s="98">
        <f t="shared" si="18"/>
        <v>0</v>
      </c>
      <c r="M67" s="98">
        <f t="shared" si="19"/>
        <v>0</v>
      </c>
      <c r="N67" s="98">
        <f t="shared" si="20"/>
        <v>0</v>
      </c>
      <c r="O67" s="98">
        <f t="shared" si="21"/>
        <v>0</v>
      </c>
      <c r="P67" s="99">
        <f t="shared" si="21"/>
        <v>0</v>
      </c>
    </row>
    <row r="68" spans="2:16" x14ac:dyDescent="0.2">
      <c r="B68" s="194">
        <v>5</v>
      </c>
      <c r="C68" s="207" t="s">
        <v>446</v>
      </c>
      <c r="D68" s="208">
        <v>500000</v>
      </c>
      <c r="E68" s="209">
        <v>15</v>
      </c>
      <c r="F68" s="228"/>
      <c r="G68" s="194"/>
      <c r="H68" s="194"/>
      <c r="I68" s="194"/>
      <c r="J68" s="227"/>
      <c r="K68" s="106">
        <f t="shared" si="22"/>
        <v>7500000</v>
      </c>
      <c r="L68" s="98">
        <f t="shared" si="18"/>
        <v>0</v>
      </c>
      <c r="M68" s="98">
        <f t="shared" si="19"/>
        <v>0</v>
      </c>
      <c r="N68" s="98">
        <f t="shared" si="20"/>
        <v>0</v>
      </c>
      <c r="O68" s="98">
        <f t="shared" si="21"/>
        <v>0</v>
      </c>
      <c r="P68" s="99">
        <f t="shared" si="21"/>
        <v>0</v>
      </c>
    </row>
    <row r="69" spans="2:16" x14ac:dyDescent="0.2">
      <c r="B69" s="194">
        <v>5</v>
      </c>
      <c r="C69" s="207" t="s">
        <v>447</v>
      </c>
      <c r="D69" s="211">
        <v>24000</v>
      </c>
      <c r="E69" s="193">
        <v>100</v>
      </c>
      <c r="F69" s="228"/>
      <c r="G69" s="226"/>
      <c r="H69" s="194"/>
      <c r="I69" s="194"/>
      <c r="J69" s="227"/>
      <c r="K69" s="106">
        <f t="shared" si="22"/>
        <v>2400000</v>
      </c>
      <c r="L69" s="98">
        <f t="shared" si="18"/>
        <v>0</v>
      </c>
      <c r="M69" s="98">
        <f t="shared" si="19"/>
        <v>0</v>
      </c>
      <c r="N69" s="98">
        <f t="shared" si="20"/>
        <v>0</v>
      </c>
      <c r="O69" s="98">
        <f t="shared" si="21"/>
        <v>0</v>
      </c>
      <c r="P69" s="99">
        <f t="shared" si="21"/>
        <v>0</v>
      </c>
    </row>
    <row r="70" spans="2:16" x14ac:dyDescent="0.2">
      <c r="B70" s="194">
        <v>5</v>
      </c>
      <c r="C70" s="207" t="s">
        <v>448</v>
      </c>
      <c r="D70" s="211">
        <v>337000</v>
      </c>
      <c r="E70" s="193">
        <v>10</v>
      </c>
      <c r="F70" s="194"/>
      <c r="G70" s="226"/>
      <c r="H70" s="194"/>
      <c r="I70" s="194"/>
      <c r="J70" s="227"/>
      <c r="K70" s="106">
        <f t="shared" si="22"/>
        <v>3370000</v>
      </c>
      <c r="L70" s="98">
        <f t="shared" si="18"/>
        <v>0</v>
      </c>
      <c r="M70" s="98">
        <f t="shared" si="19"/>
        <v>0</v>
      </c>
      <c r="N70" s="98">
        <f t="shared" si="20"/>
        <v>0</v>
      </c>
      <c r="O70" s="98">
        <f t="shared" si="21"/>
        <v>0</v>
      </c>
      <c r="P70" s="99">
        <f t="shared" si="21"/>
        <v>0</v>
      </c>
    </row>
    <row r="71" spans="2:16" x14ac:dyDescent="0.2">
      <c r="B71" s="194">
        <v>5</v>
      </c>
      <c r="C71" s="207" t="s">
        <v>449</v>
      </c>
      <c r="D71" s="211">
        <v>4500000</v>
      </c>
      <c r="E71" s="193">
        <v>1</v>
      </c>
      <c r="F71" s="194"/>
      <c r="G71" s="194"/>
      <c r="H71" s="194"/>
      <c r="I71" s="194"/>
      <c r="J71" s="227"/>
      <c r="K71" s="106">
        <f t="shared" si="22"/>
        <v>4500000</v>
      </c>
      <c r="L71" s="98">
        <f t="shared" si="18"/>
        <v>0</v>
      </c>
      <c r="M71" s="98">
        <f t="shared" si="19"/>
        <v>0</v>
      </c>
      <c r="N71" s="98">
        <f t="shared" si="20"/>
        <v>0</v>
      </c>
      <c r="O71" s="98">
        <f t="shared" si="21"/>
        <v>0</v>
      </c>
      <c r="P71" s="99">
        <f t="shared" si="21"/>
        <v>0</v>
      </c>
    </row>
    <row r="72" spans="2:16" x14ac:dyDescent="0.2">
      <c r="B72" s="194">
        <v>5</v>
      </c>
      <c r="C72" s="207"/>
      <c r="D72" s="211"/>
      <c r="E72" s="193"/>
      <c r="F72" s="194"/>
      <c r="G72" s="194"/>
      <c r="H72" s="194"/>
      <c r="I72" s="194"/>
      <c r="J72" s="227"/>
      <c r="K72" s="106">
        <f t="shared" si="22"/>
        <v>0</v>
      </c>
      <c r="L72" s="98">
        <f t="shared" si="18"/>
        <v>0</v>
      </c>
      <c r="M72" s="98">
        <f t="shared" si="19"/>
        <v>0</v>
      </c>
      <c r="N72" s="98">
        <f t="shared" si="20"/>
        <v>0</v>
      </c>
      <c r="O72" s="98">
        <f t="shared" si="21"/>
        <v>0</v>
      </c>
      <c r="P72" s="99">
        <f t="shared" si="21"/>
        <v>0</v>
      </c>
    </row>
    <row r="73" spans="2:16" x14ac:dyDescent="0.2">
      <c r="B73" s="194">
        <v>5</v>
      </c>
      <c r="C73" s="207" t="s">
        <v>450</v>
      </c>
      <c r="D73" s="211">
        <v>500000</v>
      </c>
      <c r="E73" s="193">
        <v>3</v>
      </c>
      <c r="F73" s="194"/>
      <c r="G73" s="194"/>
      <c r="H73" s="194"/>
      <c r="I73" s="194"/>
      <c r="J73" s="227"/>
      <c r="K73" s="106">
        <f t="shared" si="22"/>
        <v>1500000</v>
      </c>
      <c r="L73" s="98">
        <f t="shared" si="18"/>
        <v>0</v>
      </c>
      <c r="M73" s="98">
        <f t="shared" si="19"/>
        <v>0</v>
      </c>
      <c r="N73" s="98">
        <f t="shared" si="20"/>
        <v>0</v>
      </c>
      <c r="O73" s="98">
        <f t="shared" si="21"/>
        <v>0</v>
      </c>
      <c r="P73" s="99">
        <f t="shared" si="21"/>
        <v>0</v>
      </c>
    </row>
    <row r="74" spans="2:16" x14ac:dyDescent="0.2">
      <c r="B74" s="194">
        <v>5</v>
      </c>
      <c r="C74" s="207" t="s">
        <v>451</v>
      </c>
      <c r="D74" s="211">
        <v>700000</v>
      </c>
      <c r="E74" s="193">
        <v>1</v>
      </c>
      <c r="F74" s="194"/>
      <c r="G74" s="194"/>
      <c r="H74" s="194"/>
      <c r="I74" s="194"/>
      <c r="J74" s="227"/>
      <c r="K74" s="106">
        <f t="shared" si="22"/>
        <v>700000</v>
      </c>
      <c r="L74" s="98">
        <f t="shared" si="18"/>
        <v>0</v>
      </c>
      <c r="M74" s="98">
        <f t="shared" si="19"/>
        <v>0</v>
      </c>
      <c r="N74" s="98">
        <f t="shared" si="20"/>
        <v>0</v>
      </c>
      <c r="O74" s="98">
        <f t="shared" si="21"/>
        <v>0</v>
      </c>
      <c r="P74" s="99">
        <f t="shared" si="21"/>
        <v>0</v>
      </c>
    </row>
    <row r="75" spans="2:16" x14ac:dyDescent="0.2">
      <c r="B75" s="194">
        <v>5</v>
      </c>
      <c r="C75" s="207" t="s">
        <v>452</v>
      </c>
      <c r="D75" s="211">
        <v>300000</v>
      </c>
      <c r="E75" s="193">
        <v>3</v>
      </c>
      <c r="F75" s="194"/>
      <c r="G75" s="194"/>
      <c r="H75" s="194"/>
      <c r="I75" s="194"/>
      <c r="J75" s="227"/>
      <c r="K75" s="106">
        <f t="shared" si="22"/>
        <v>900000</v>
      </c>
      <c r="L75" s="98">
        <f t="shared" si="18"/>
        <v>0</v>
      </c>
      <c r="M75" s="98">
        <f t="shared" si="19"/>
        <v>0</v>
      </c>
      <c r="N75" s="98">
        <f t="shared" si="20"/>
        <v>0</v>
      </c>
      <c r="O75" s="98">
        <f t="shared" si="21"/>
        <v>0</v>
      </c>
      <c r="P75" s="99">
        <f t="shared" si="21"/>
        <v>0</v>
      </c>
    </row>
    <row r="76" spans="2:16" x14ac:dyDescent="0.2">
      <c r="B76" s="194">
        <v>5</v>
      </c>
      <c r="C76" s="210"/>
      <c r="D76" s="211"/>
      <c r="E76" s="193"/>
      <c r="F76" s="194"/>
      <c r="G76" s="194"/>
      <c r="H76" s="194"/>
      <c r="I76" s="194"/>
      <c r="J76" s="227"/>
      <c r="K76" s="106">
        <f t="shared" si="22"/>
        <v>0</v>
      </c>
      <c r="L76" s="98">
        <f t="shared" si="18"/>
        <v>0</v>
      </c>
      <c r="M76" s="98">
        <f t="shared" si="19"/>
        <v>0</v>
      </c>
      <c r="N76" s="98">
        <f t="shared" si="20"/>
        <v>0</v>
      </c>
      <c r="O76" s="98">
        <f t="shared" si="21"/>
        <v>0</v>
      </c>
      <c r="P76" s="99">
        <f t="shared" si="21"/>
        <v>0</v>
      </c>
    </row>
    <row r="77" spans="2:16" x14ac:dyDescent="0.2">
      <c r="B77" s="194">
        <v>5</v>
      </c>
      <c r="C77" s="210"/>
      <c r="D77" s="211"/>
      <c r="E77" s="193"/>
      <c r="F77" s="194"/>
      <c r="G77" s="194"/>
      <c r="H77" s="194"/>
      <c r="I77" s="194"/>
      <c r="J77" s="227"/>
      <c r="K77" s="106">
        <f t="shared" si="22"/>
        <v>0</v>
      </c>
      <c r="L77" s="98">
        <f t="shared" si="18"/>
        <v>0</v>
      </c>
      <c r="M77" s="98">
        <f t="shared" si="19"/>
        <v>0</v>
      </c>
      <c r="N77" s="98">
        <f t="shared" si="20"/>
        <v>0</v>
      </c>
      <c r="O77" s="98">
        <f t="shared" si="21"/>
        <v>0</v>
      </c>
      <c r="P77" s="99">
        <f t="shared" si="21"/>
        <v>0</v>
      </c>
    </row>
    <row r="78" spans="2:16" x14ac:dyDescent="0.2">
      <c r="B78" s="194">
        <v>5</v>
      </c>
      <c r="C78" s="210"/>
      <c r="D78" s="211"/>
      <c r="E78" s="193"/>
      <c r="F78" s="194"/>
      <c r="G78" s="194"/>
      <c r="H78" s="194"/>
      <c r="I78" s="194"/>
      <c r="J78" s="227"/>
      <c r="K78" s="106">
        <f t="shared" si="22"/>
        <v>0</v>
      </c>
      <c r="L78" s="98">
        <f t="shared" si="18"/>
        <v>0</v>
      </c>
      <c r="M78" s="98">
        <f t="shared" si="19"/>
        <v>0</v>
      </c>
      <c r="N78" s="98">
        <f t="shared" si="20"/>
        <v>0</v>
      </c>
      <c r="O78" s="98">
        <f t="shared" si="21"/>
        <v>0</v>
      </c>
      <c r="P78" s="99">
        <f t="shared" si="21"/>
        <v>0</v>
      </c>
    </row>
    <row r="79" spans="2:16" x14ac:dyDescent="0.2">
      <c r="B79" s="194">
        <v>5</v>
      </c>
      <c r="C79" s="210"/>
      <c r="D79" s="211"/>
      <c r="E79" s="193"/>
      <c r="F79" s="194"/>
      <c r="G79" s="194"/>
      <c r="H79" s="194"/>
      <c r="I79" s="194"/>
      <c r="J79" s="227"/>
      <c r="K79" s="106">
        <f t="shared" si="22"/>
        <v>0</v>
      </c>
      <c r="L79" s="98">
        <f t="shared" si="18"/>
        <v>0</v>
      </c>
      <c r="M79" s="98">
        <f t="shared" si="19"/>
        <v>0</v>
      </c>
      <c r="N79" s="98">
        <f t="shared" si="20"/>
        <v>0</v>
      </c>
      <c r="O79" s="98">
        <f t="shared" si="21"/>
        <v>0</v>
      </c>
      <c r="P79" s="99">
        <f t="shared" si="21"/>
        <v>0</v>
      </c>
    </row>
    <row r="80" spans="2:16" x14ac:dyDescent="0.2">
      <c r="B80" s="197">
        <v>5</v>
      </c>
      <c r="C80" s="214"/>
      <c r="D80" s="215"/>
      <c r="E80" s="196"/>
      <c r="F80" s="197"/>
      <c r="G80" s="197"/>
      <c r="H80" s="197"/>
      <c r="I80" s="197"/>
      <c r="J80" s="229"/>
      <c r="K80" s="107">
        <f t="shared" si="22"/>
        <v>0</v>
      </c>
      <c r="L80" s="101">
        <f t="shared" si="18"/>
        <v>0</v>
      </c>
      <c r="M80" s="101">
        <f t="shared" si="19"/>
        <v>0</v>
      </c>
      <c r="N80" s="101">
        <f t="shared" si="20"/>
        <v>0</v>
      </c>
      <c r="O80" s="101">
        <f t="shared" si="21"/>
        <v>0</v>
      </c>
      <c r="P80" s="102">
        <f t="shared" si="21"/>
        <v>0</v>
      </c>
    </row>
    <row r="81" spans="2:16" s="90" customFormat="1" x14ac:dyDescent="0.2">
      <c r="B81" s="108"/>
      <c r="C81" s="212" t="s">
        <v>1</v>
      </c>
      <c r="D81" s="213">
        <f>SUM(D60:D80)</f>
        <v>12831000</v>
      </c>
      <c r="E81" s="149"/>
      <c r="F81" s="149"/>
      <c r="G81" s="149"/>
      <c r="H81" s="149"/>
      <c r="I81" s="149"/>
      <c r="J81" s="149"/>
      <c r="K81" s="151">
        <f t="shared" ref="K81:P81" si="23">SUM(K60:K80)</f>
        <v>30270000</v>
      </c>
      <c r="L81" s="152">
        <f>SUM(L60:L80)</f>
        <v>0</v>
      </c>
      <c r="M81" s="152">
        <f t="shared" si="23"/>
        <v>0</v>
      </c>
      <c r="N81" s="152">
        <f t="shared" si="23"/>
        <v>0</v>
      </c>
      <c r="O81" s="152">
        <f t="shared" si="23"/>
        <v>0</v>
      </c>
      <c r="P81" s="152">
        <f t="shared" si="23"/>
        <v>0</v>
      </c>
    </row>
    <row r="82" spans="2:16" s="24" customFormat="1" x14ac:dyDescent="0.2">
      <c r="B82" s="234"/>
      <c r="C82" s="236" t="s">
        <v>68</v>
      </c>
      <c r="D82" s="223" t="s">
        <v>291</v>
      </c>
      <c r="E82" s="145"/>
      <c r="F82" s="146"/>
      <c r="G82" s="146"/>
      <c r="H82" s="146"/>
      <c r="I82" s="146"/>
      <c r="J82" s="146"/>
      <c r="K82" s="145"/>
      <c r="L82" s="146"/>
      <c r="M82" s="146"/>
      <c r="N82" s="146"/>
      <c r="O82" s="146"/>
      <c r="P82" s="146"/>
    </row>
    <row r="83" spans="2:16" ht="14.25" x14ac:dyDescent="0.2">
      <c r="B83" s="191">
        <v>5</v>
      </c>
      <c r="C83" s="237" t="s">
        <v>453</v>
      </c>
      <c r="D83" s="238">
        <v>1200000</v>
      </c>
      <c r="E83" s="199">
        <v>3</v>
      </c>
      <c r="F83" s="239"/>
      <c r="G83" s="191"/>
      <c r="H83" s="191"/>
      <c r="I83" s="191"/>
      <c r="J83" s="225"/>
      <c r="K83" s="106">
        <f t="shared" ref="K83:K85" si="24">+$D83*E83*H$7</f>
        <v>3600000</v>
      </c>
      <c r="L83" s="95">
        <f t="shared" ref="L83:L99" si="25">+$D83*F83*K$7</f>
        <v>0</v>
      </c>
      <c r="M83" s="95">
        <f t="shared" ref="M83:M99" si="26">+$D83*G83*L$7</f>
        <v>0</v>
      </c>
      <c r="N83" s="95">
        <f t="shared" ref="N83:N99" si="27">+$D83*H83*M$7</f>
        <v>0</v>
      </c>
      <c r="O83" s="95">
        <f t="shared" ref="O83:P99" si="28">+$D83*I83*N$7</f>
        <v>0</v>
      </c>
      <c r="P83" s="96">
        <f t="shared" si="28"/>
        <v>0</v>
      </c>
    </row>
    <row r="84" spans="2:16" x14ac:dyDescent="0.2">
      <c r="B84" s="194">
        <v>3</v>
      </c>
      <c r="C84" s="207"/>
      <c r="D84" s="208"/>
      <c r="E84" s="209"/>
      <c r="F84" s="194"/>
      <c r="G84" s="194"/>
      <c r="H84" s="194"/>
      <c r="I84" s="194"/>
      <c r="J84" s="227"/>
      <c r="K84" s="106">
        <f t="shared" si="24"/>
        <v>0</v>
      </c>
      <c r="L84" s="98">
        <f t="shared" si="25"/>
        <v>0</v>
      </c>
      <c r="M84" s="98">
        <f t="shared" si="26"/>
        <v>0</v>
      </c>
      <c r="N84" s="98">
        <f t="shared" si="27"/>
        <v>0</v>
      </c>
      <c r="O84" s="98">
        <f t="shared" si="28"/>
        <v>0</v>
      </c>
      <c r="P84" s="99">
        <f t="shared" si="28"/>
        <v>0</v>
      </c>
    </row>
    <row r="85" spans="2:16" x14ac:dyDescent="0.2">
      <c r="B85" s="194">
        <v>5</v>
      </c>
      <c r="C85" s="207" t="s">
        <v>454</v>
      </c>
      <c r="D85" s="211">
        <v>400000</v>
      </c>
      <c r="E85" s="193">
        <v>1</v>
      </c>
      <c r="F85" s="194"/>
      <c r="G85" s="194"/>
      <c r="H85" s="194"/>
      <c r="I85" s="194"/>
      <c r="J85" s="227"/>
      <c r="K85" s="106">
        <f t="shared" si="24"/>
        <v>400000</v>
      </c>
      <c r="L85" s="98">
        <f t="shared" si="25"/>
        <v>0</v>
      </c>
      <c r="M85" s="98">
        <f t="shared" si="26"/>
        <v>0</v>
      </c>
      <c r="N85" s="98">
        <f t="shared" si="27"/>
        <v>0</v>
      </c>
      <c r="O85" s="98">
        <f t="shared" si="28"/>
        <v>0</v>
      </c>
      <c r="P85" s="99">
        <f t="shared" si="28"/>
        <v>0</v>
      </c>
    </row>
    <row r="86" spans="2:16" x14ac:dyDescent="0.2">
      <c r="B86" s="194">
        <v>5</v>
      </c>
      <c r="C86" s="240" t="s">
        <v>455</v>
      </c>
      <c r="D86" s="211">
        <v>1000000</v>
      </c>
      <c r="E86" s="193">
        <v>2</v>
      </c>
      <c r="F86" s="194"/>
      <c r="G86" s="194"/>
      <c r="H86" s="194"/>
      <c r="I86" s="194"/>
      <c r="J86" s="227"/>
      <c r="K86" s="106">
        <f>+$D86*E86*H$7</f>
        <v>2000000</v>
      </c>
      <c r="L86" s="98">
        <f t="shared" si="25"/>
        <v>0</v>
      </c>
      <c r="M86" s="98">
        <f t="shared" si="26"/>
        <v>0</v>
      </c>
      <c r="N86" s="98">
        <f t="shared" si="27"/>
        <v>0</v>
      </c>
      <c r="O86" s="98">
        <f t="shared" si="28"/>
        <v>0</v>
      </c>
      <c r="P86" s="99">
        <f t="shared" si="28"/>
        <v>0</v>
      </c>
    </row>
    <row r="87" spans="2:16" x14ac:dyDescent="0.2">
      <c r="B87" s="194">
        <v>3</v>
      </c>
      <c r="C87" s="240"/>
      <c r="D87" s="211"/>
      <c r="E87" s="193"/>
      <c r="F87" s="194"/>
      <c r="G87" s="194"/>
      <c r="H87" s="194"/>
      <c r="I87" s="194"/>
      <c r="J87" s="227"/>
      <c r="K87" s="106">
        <f>+$D87*E87*H$7</f>
        <v>0</v>
      </c>
      <c r="L87" s="98">
        <f t="shared" si="25"/>
        <v>0</v>
      </c>
      <c r="M87" s="98">
        <f t="shared" si="26"/>
        <v>0</v>
      </c>
      <c r="N87" s="98">
        <f t="shared" si="27"/>
        <v>0</v>
      </c>
      <c r="O87" s="98">
        <f t="shared" si="28"/>
        <v>0</v>
      </c>
      <c r="P87" s="99">
        <f t="shared" si="28"/>
        <v>0</v>
      </c>
    </row>
    <row r="88" spans="2:16" x14ac:dyDescent="0.2">
      <c r="B88" s="194">
        <v>3</v>
      </c>
      <c r="C88" s="241"/>
      <c r="D88" s="211"/>
      <c r="E88" s="193"/>
      <c r="F88" s="194"/>
      <c r="G88" s="194"/>
      <c r="H88" s="194"/>
      <c r="I88" s="194"/>
      <c r="J88" s="227"/>
      <c r="K88" s="106">
        <f t="shared" ref="K88:K99" si="29">+$D88*E88*H$7</f>
        <v>0</v>
      </c>
      <c r="L88" s="98">
        <f t="shared" si="25"/>
        <v>0</v>
      </c>
      <c r="M88" s="98">
        <f t="shared" si="26"/>
        <v>0</v>
      </c>
      <c r="N88" s="98">
        <f t="shared" si="27"/>
        <v>0</v>
      </c>
      <c r="O88" s="98">
        <f t="shared" si="28"/>
        <v>0</v>
      </c>
      <c r="P88" s="99">
        <f t="shared" si="28"/>
        <v>0</v>
      </c>
    </row>
    <row r="89" spans="2:16" x14ac:dyDescent="0.2">
      <c r="B89" s="194">
        <v>3</v>
      </c>
      <c r="C89" s="241"/>
      <c r="D89" s="211"/>
      <c r="E89" s="193"/>
      <c r="F89" s="194"/>
      <c r="G89" s="194"/>
      <c r="H89" s="194"/>
      <c r="I89" s="194"/>
      <c r="J89" s="227"/>
      <c r="K89" s="106">
        <f t="shared" si="29"/>
        <v>0</v>
      </c>
      <c r="L89" s="98">
        <f t="shared" si="25"/>
        <v>0</v>
      </c>
      <c r="M89" s="98">
        <f t="shared" si="26"/>
        <v>0</v>
      </c>
      <c r="N89" s="98">
        <f t="shared" si="27"/>
        <v>0</v>
      </c>
      <c r="O89" s="98">
        <f t="shared" si="28"/>
        <v>0</v>
      </c>
      <c r="P89" s="99">
        <f t="shared" si="28"/>
        <v>0</v>
      </c>
    </row>
    <row r="90" spans="2:16" x14ac:dyDescent="0.2">
      <c r="B90" s="194">
        <v>3</v>
      </c>
      <c r="C90" s="241"/>
      <c r="D90" s="211"/>
      <c r="E90" s="193"/>
      <c r="F90" s="194"/>
      <c r="G90" s="194"/>
      <c r="H90" s="194"/>
      <c r="I90" s="194"/>
      <c r="J90" s="227"/>
      <c r="K90" s="106">
        <f t="shared" si="29"/>
        <v>0</v>
      </c>
      <c r="L90" s="98">
        <f t="shared" si="25"/>
        <v>0</v>
      </c>
      <c r="M90" s="98">
        <f t="shared" si="26"/>
        <v>0</v>
      </c>
      <c r="N90" s="98">
        <f t="shared" si="27"/>
        <v>0</v>
      </c>
      <c r="O90" s="98">
        <f t="shared" si="28"/>
        <v>0</v>
      </c>
      <c r="P90" s="99">
        <f t="shared" si="28"/>
        <v>0</v>
      </c>
    </row>
    <row r="91" spans="2:16" x14ac:dyDescent="0.2">
      <c r="B91" s="194">
        <v>3</v>
      </c>
      <c r="C91" s="241"/>
      <c r="D91" s="211"/>
      <c r="E91" s="193"/>
      <c r="F91" s="194"/>
      <c r="G91" s="194"/>
      <c r="H91" s="194"/>
      <c r="I91" s="194"/>
      <c r="J91" s="227"/>
      <c r="K91" s="106">
        <f t="shared" si="29"/>
        <v>0</v>
      </c>
      <c r="L91" s="98">
        <f t="shared" si="25"/>
        <v>0</v>
      </c>
      <c r="M91" s="98">
        <f t="shared" si="26"/>
        <v>0</v>
      </c>
      <c r="N91" s="98">
        <f t="shared" si="27"/>
        <v>0</v>
      </c>
      <c r="O91" s="98">
        <f t="shared" si="28"/>
        <v>0</v>
      </c>
      <c r="P91" s="99">
        <f t="shared" si="28"/>
        <v>0</v>
      </c>
    </row>
    <row r="92" spans="2:16" x14ac:dyDescent="0.2">
      <c r="B92" s="194">
        <v>3</v>
      </c>
      <c r="C92" s="241"/>
      <c r="D92" s="211"/>
      <c r="E92" s="193"/>
      <c r="F92" s="194"/>
      <c r="G92" s="194"/>
      <c r="H92" s="194"/>
      <c r="I92" s="194"/>
      <c r="J92" s="227"/>
      <c r="K92" s="106">
        <f t="shared" si="29"/>
        <v>0</v>
      </c>
      <c r="L92" s="98">
        <f t="shared" si="25"/>
        <v>0</v>
      </c>
      <c r="M92" s="98">
        <f t="shared" si="26"/>
        <v>0</v>
      </c>
      <c r="N92" s="98">
        <f t="shared" si="27"/>
        <v>0</v>
      </c>
      <c r="O92" s="98">
        <f t="shared" si="28"/>
        <v>0</v>
      </c>
      <c r="P92" s="99">
        <f t="shared" si="28"/>
        <v>0</v>
      </c>
    </row>
    <row r="93" spans="2:16" x14ac:dyDescent="0.2">
      <c r="B93" s="194">
        <v>3</v>
      </c>
      <c r="C93" s="241"/>
      <c r="D93" s="211"/>
      <c r="E93" s="193"/>
      <c r="F93" s="194"/>
      <c r="G93" s="194"/>
      <c r="H93" s="194"/>
      <c r="I93" s="194"/>
      <c r="J93" s="227"/>
      <c r="K93" s="106">
        <f t="shared" si="29"/>
        <v>0</v>
      </c>
      <c r="L93" s="98">
        <f t="shared" si="25"/>
        <v>0</v>
      </c>
      <c r="M93" s="98">
        <f t="shared" si="26"/>
        <v>0</v>
      </c>
      <c r="N93" s="98">
        <f t="shared" si="27"/>
        <v>0</v>
      </c>
      <c r="O93" s="98">
        <f t="shared" si="28"/>
        <v>0</v>
      </c>
      <c r="P93" s="99">
        <f t="shared" si="28"/>
        <v>0</v>
      </c>
    </row>
    <row r="94" spans="2:16" x14ac:dyDescent="0.2">
      <c r="B94" s="194">
        <v>3</v>
      </c>
      <c r="C94" s="241"/>
      <c r="D94" s="211"/>
      <c r="E94" s="193"/>
      <c r="F94" s="194"/>
      <c r="G94" s="194"/>
      <c r="H94" s="194"/>
      <c r="I94" s="194"/>
      <c r="J94" s="227"/>
      <c r="K94" s="106">
        <f t="shared" si="29"/>
        <v>0</v>
      </c>
      <c r="L94" s="98">
        <f t="shared" si="25"/>
        <v>0</v>
      </c>
      <c r="M94" s="98">
        <f t="shared" si="26"/>
        <v>0</v>
      </c>
      <c r="N94" s="98">
        <f t="shared" si="27"/>
        <v>0</v>
      </c>
      <c r="O94" s="98">
        <f t="shared" si="28"/>
        <v>0</v>
      </c>
      <c r="P94" s="99">
        <f t="shared" si="28"/>
        <v>0</v>
      </c>
    </row>
    <row r="95" spans="2:16" x14ac:dyDescent="0.2">
      <c r="B95" s="194">
        <v>3</v>
      </c>
      <c r="C95" s="241"/>
      <c r="D95" s="211"/>
      <c r="E95" s="193"/>
      <c r="F95" s="194"/>
      <c r="G95" s="194"/>
      <c r="H95" s="194"/>
      <c r="I95" s="194"/>
      <c r="J95" s="227"/>
      <c r="K95" s="106">
        <f t="shared" si="29"/>
        <v>0</v>
      </c>
      <c r="L95" s="98">
        <f t="shared" si="25"/>
        <v>0</v>
      </c>
      <c r="M95" s="98">
        <f t="shared" si="26"/>
        <v>0</v>
      </c>
      <c r="N95" s="98">
        <f t="shared" si="27"/>
        <v>0</v>
      </c>
      <c r="O95" s="98">
        <f t="shared" si="28"/>
        <v>0</v>
      </c>
      <c r="P95" s="99">
        <f t="shared" si="28"/>
        <v>0</v>
      </c>
    </row>
    <row r="96" spans="2:16" x14ac:dyDescent="0.2">
      <c r="B96" s="194">
        <v>3</v>
      </c>
      <c r="C96" s="241"/>
      <c r="D96" s="211"/>
      <c r="E96" s="193"/>
      <c r="F96" s="194"/>
      <c r="G96" s="194"/>
      <c r="H96" s="194"/>
      <c r="I96" s="194"/>
      <c r="J96" s="227"/>
      <c r="K96" s="106">
        <f t="shared" si="29"/>
        <v>0</v>
      </c>
      <c r="L96" s="98">
        <f t="shared" si="25"/>
        <v>0</v>
      </c>
      <c r="M96" s="98">
        <f t="shared" si="26"/>
        <v>0</v>
      </c>
      <c r="N96" s="98">
        <f t="shared" si="27"/>
        <v>0</v>
      </c>
      <c r="O96" s="98">
        <f t="shared" si="28"/>
        <v>0</v>
      </c>
      <c r="P96" s="99">
        <f t="shared" si="28"/>
        <v>0</v>
      </c>
    </row>
    <row r="97" spans="2:16" x14ac:dyDescent="0.2">
      <c r="B97" s="194">
        <v>3</v>
      </c>
      <c r="C97" s="241"/>
      <c r="D97" s="211"/>
      <c r="E97" s="193"/>
      <c r="F97" s="194"/>
      <c r="G97" s="194"/>
      <c r="H97" s="194"/>
      <c r="I97" s="194"/>
      <c r="J97" s="227"/>
      <c r="K97" s="106">
        <f t="shared" si="29"/>
        <v>0</v>
      </c>
      <c r="L97" s="98">
        <f t="shared" si="25"/>
        <v>0</v>
      </c>
      <c r="M97" s="98">
        <f t="shared" si="26"/>
        <v>0</v>
      </c>
      <c r="N97" s="98">
        <f t="shared" si="27"/>
        <v>0</v>
      </c>
      <c r="O97" s="98">
        <f t="shared" si="28"/>
        <v>0</v>
      </c>
      <c r="P97" s="99">
        <f t="shared" si="28"/>
        <v>0</v>
      </c>
    </row>
    <row r="98" spans="2:16" x14ac:dyDescent="0.2">
      <c r="B98" s="194">
        <v>3</v>
      </c>
      <c r="C98" s="241"/>
      <c r="D98" s="211"/>
      <c r="E98" s="193"/>
      <c r="F98" s="194"/>
      <c r="G98" s="194"/>
      <c r="H98" s="194"/>
      <c r="I98" s="194"/>
      <c r="J98" s="227"/>
      <c r="K98" s="106">
        <f t="shared" si="29"/>
        <v>0</v>
      </c>
      <c r="L98" s="98">
        <f t="shared" si="25"/>
        <v>0</v>
      </c>
      <c r="M98" s="98">
        <f t="shared" si="26"/>
        <v>0</v>
      </c>
      <c r="N98" s="98">
        <f t="shared" si="27"/>
        <v>0</v>
      </c>
      <c r="O98" s="98">
        <f t="shared" si="28"/>
        <v>0</v>
      </c>
      <c r="P98" s="99">
        <f t="shared" si="28"/>
        <v>0</v>
      </c>
    </row>
    <row r="99" spans="2:16" x14ac:dyDescent="0.2">
      <c r="B99" s="197">
        <v>3</v>
      </c>
      <c r="C99" s="214"/>
      <c r="D99" s="242"/>
      <c r="E99" s="196"/>
      <c r="F99" s="197"/>
      <c r="G99" s="197"/>
      <c r="H99" s="197"/>
      <c r="I99" s="197"/>
      <c r="J99" s="229"/>
      <c r="K99" s="107">
        <f t="shared" si="29"/>
        <v>0</v>
      </c>
      <c r="L99" s="101">
        <f t="shared" si="25"/>
        <v>0</v>
      </c>
      <c r="M99" s="101">
        <f t="shared" si="26"/>
        <v>0</v>
      </c>
      <c r="N99" s="101">
        <f t="shared" si="27"/>
        <v>0</v>
      </c>
      <c r="O99" s="101">
        <f t="shared" si="28"/>
        <v>0</v>
      </c>
      <c r="P99" s="102">
        <f t="shared" si="28"/>
        <v>0</v>
      </c>
    </row>
    <row r="100" spans="2:16" s="90" customFormat="1" x14ac:dyDescent="0.2">
      <c r="B100" s="108"/>
      <c r="C100" s="212" t="s">
        <v>1</v>
      </c>
      <c r="D100" s="170">
        <f>SUM(D83:D99)</f>
        <v>2600000</v>
      </c>
      <c r="E100" s="143"/>
      <c r="F100" s="143"/>
      <c r="G100" s="143"/>
      <c r="H100" s="143"/>
      <c r="I100" s="143"/>
      <c r="J100" s="143"/>
      <c r="K100" s="144">
        <f>SUM(K83:K99)</f>
        <v>6000000</v>
      </c>
      <c r="L100" s="144">
        <f t="shared" ref="L100:P100" si="30">SUM(L83:L99)</f>
        <v>0</v>
      </c>
      <c r="M100" s="144">
        <f t="shared" si="30"/>
        <v>0</v>
      </c>
      <c r="N100" s="144">
        <f t="shared" si="30"/>
        <v>0</v>
      </c>
      <c r="O100" s="144">
        <f t="shared" si="30"/>
        <v>0</v>
      </c>
      <c r="P100" s="144">
        <f t="shared" si="30"/>
        <v>0</v>
      </c>
    </row>
    <row r="101" spans="2:16" x14ac:dyDescent="0.2">
      <c r="B101" s="243"/>
      <c r="C101" s="222" t="s">
        <v>5</v>
      </c>
      <c r="D101" s="223" t="s">
        <v>291</v>
      </c>
      <c r="E101" s="145"/>
      <c r="F101" s="146"/>
      <c r="G101" s="146"/>
      <c r="H101" s="146"/>
      <c r="I101" s="146"/>
      <c r="J101" s="146"/>
      <c r="K101" s="145"/>
      <c r="L101" s="146"/>
      <c r="M101" s="146"/>
      <c r="N101" s="146"/>
      <c r="O101" s="146"/>
      <c r="P101" s="146"/>
    </row>
    <row r="102" spans="2:16" ht="14.25" x14ac:dyDescent="0.2">
      <c r="B102" s="191">
        <v>1</v>
      </c>
      <c r="C102" s="201"/>
      <c r="D102" s="202"/>
      <c r="E102" s="203"/>
      <c r="F102" s="191"/>
      <c r="G102" s="191"/>
      <c r="H102" s="191"/>
      <c r="I102" s="191"/>
      <c r="J102" s="225"/>
      <c r="K102" s="105">
        <f t="shared" ref="K102:K111" si="31">+$D102*E102*H$7</f>
        <v>0</v>
      </c>
      <c r="L102" s="95">
        <f t="shared" ref="L102:L111" si="32">+$D102*F102*K$7</f>
        <v>0</v>
      </c>
      <c r="M102" s="95">
        <f t="shared" ref="M102:M111" si="33">+$D102*G102*L$7</f>
        <v>0</v>
      </c>
      <c r="N102" s="95">
        <f t="shared" ref="N102:N111" si="34">+$D102*H102*M$7</f>
        <v>0</v>
      </c>
      <c r="O102" s="95">
        <f t="shared" ref="O102:P111" si="35">+$D102*I102*N$7</f>
        <v>0</v>
      </c>
      <c r="P102" s="96">
        <f t="shared" si="35"/>
        <v>0</v>
      </c>
    </row>
    <row r="103" spans="2:16" ht="14.25" x14ac:dyDescent="0.2">
      <c r="B103" s="194">
        <v>1</v>
      </c>
      <c r="C103" s="201"/>
      <c r="D103" s="202"/>
      <c r="E103" s="203"/>
      <c r="F103" s="194"/>
      <c r="G103" s="194"/>
      <c r="H103" s="194"/>
      <c r="I103" s="194"/>
      <c r="J103" s="227"/>
      <c r="K103" s="106">
        <f t="shared" si="31"/>
        <v>0</v>
      </c>
      <c r="L103" s="98">
        <f t="shared" si="32"/>
        <v>0</v>
      </c>
      <c r="M103" s="98">
        <f t="shared" si="33"/>
        <v>0</v>
      </c>
      <c r="N103" s="98">
        <f t="shared" si="34"/>
        <v>0</v>
      </c>
      <c r="O103" s="98">
        <f t="shared" si="35"/>
        <v>0</v>
      </c>
      <c r="P103" s="99">
        <f t="shared" si="35"/>
        <v>0</v>
      </c>
    </row>
    <row r="104" spans="2:16" ht="14.25" x14ac:dyDescent="0.2">
      <c r="B104" s="194">
        <v>1</v>
      </c>
      <c r="C104" s="201"/>
      <c r="D104" s="202"/>
      <c r="E104" s="203"/>
      <c r="F104" s="194"/>
      <c r="G104" s="194"/>
      <c r="H104" s="194"/>
      <c r="I104" s="194"/>
      <c r="J104" s="227"/>
      <c r="K104" s="106">
        <f t="shared" si="31"/>
        <v>0</v>
      </c>
      <c r="L104" s="98">
        <f t="shared" si="32"/>
        <v>0</v>
      </c>
      <c r="M104" s="98">
        <f t="shared" si="33"/>
        <v>0</v>
      </c>
      <c r="N104" s="98">
        <f t="shared" si="34"/>
        <v>0</v>
      </c>
      <c r="O104" s="98">
        <f t="shared" si="35"/>
        <v>0</v>
      </c>
      <c r="P104" s="99">
        <f t="shared" si="35"/>
        <v>0</v>
      </c>
    </row>
    <row r="105" spans="2:16" ht="14.25" x14ac:dyDescent="0.2">
      <c r="B105" s="194">
        <v>1</v>
      </c>
      <c r="C105" s="201"/>
      <c r="D105" s="202"/>
      <c r="E105" s="203"/>
      <c r="F105" s="194"/>
      <c r="G105" s="194"/>
      <c r="H105" s="194"/>
      <c r="I105" s="194"/>
      <c r="J105" s="227"/>
      <c r="K105" s="106">
        <f t="shared" si="31"/>
        <v>0</v>
      </c>
      <c r="L105" s="98">
        <f t="shared" si="32"/>
        <v>0</v>
      </c>
      <c r="M105" s="98">
        <f t="shared" si="33"/>
        <v>0</v>
      </c>
      <c r="N105" s="98">
        <f t="shared" si="34"/>
        <v>0</v>
      </c>
      <c r="O105" s="98">
        <f t="shared" si="35"/>
        <v>0</v>
      </c>
      <c r="P105" s="99">
        <f t="shared" si="35"/>
        <v>0</v>
      </c>
    </row>
    <row r="106" spans="2:16" ht="14.25" x14ac:dyDescent="0.2">
      <c r="B106" s="194">
        <v>1</v>
      </c>
      <c r="C106" s="201"/>
      <c r="D106" s="202"/>
      <c r="E106" s="203"/>
      <c r="F106" s="194"/>
      <c r="G106" s="194"/>
      <c r="H106" s="194"/>
      <c r="I106" s="194"/>
      <c r="J106" s="227"/>
      <c r="K106" s="106">
        <f t="shared" si="31"/>
        <v>0</v>
      </c>
      <c r="L106" s="98">
        <f t="shared" si="32"/>
        <v>0</v>
      </c>
      <c r="M106" s="98">
        <f t="shared" si="33"/>
        <v>0</v>
      </c>
      <c r="N106" s="98">
        <f t="shared" si="34"/>
        <v>0</v>
      </c>
      <c r="O106" s="98">
        <f t="shared" si="35"/>
        <v>0</v>
      </c>
      <c r="P106" s="99">
        <f t="shared" si="35"/>
        <v>0</v>
      </c>
    </row>
    <row r="107" spans="2:16" ht="14.25" x14ac:dyDescent="0.2">
      <c r="B107" s="194">
        <v>1</v>
      </c>
      <c r="C107" s="201"/>
      <c r="D107" s="202"/>
      <c r="E107" s="203"/>
      <c r="F107" s="194"/>
      <c r="G107" s="194"/>
      <c r="H107" s="194"/>
      <c r="I107" s="194"/>
      <c r="J107" s="227"/>
      <c r="K107" s="106">
        <f t="shared" si="31"/>
        <v>0</v>
      </c>
      <c r="L107" s="98">
        <f t="shared" si="32"/>
        <v>0</v>
      </c>
      <c r="M107" s="98">
        <f t="shared" si="33"/>
        <v>0</v>
      </c>
      <c r="N107" s="98">
        <f t="shared" si="34"/>
        <v>0</v>
      </c>
      <c r="O107" s="98">
        <f t="shared" si="35"/>
        <v>0</v>
      </c>
      <c r="P107" s="99">
        <f t="shared" si="35"/>
        <v>0</v>
      </c>
    </row>
    <row r="108" spans="2:16" ht="14.25" x14ac:dyDescent="0.2">
      <c r="B108" s="194">
        <v>1</v>
      </c>
      <c r="C108" s="201"/>
      <c r="D108" s="202"/>
      <c r="E108" s="203"/>
      <c r="F108" s="194"/>
      <c r="G108" s="194"/>
      <c r="H108" s="194"/>
      <c r="I108" s="194"/>
      <c r="J108" s="227"/>
      <c r="K108" s="106">
        <f t="shared" si="31"/>
        <v>0</v>
      </c>
      <c r="L108" s="98">
        <f t="shared" si="32"/>
        <v>0</v>
      </c>
      <c r="M108" s="98">
        <f t="shared" si="33"/>
        <v>0</v>
      </c>
      <c r="N108" s="98">
        <f t="shared" si="34"/>
        <v>0</v>
      </c>
      <c r="O108" s="98">
        <f t="shared" si="35"/>
        <v>0</v>
      </c>
      <c r="P108" s="99">
        <f t="shared" si="35"/>
        <v>0</v>
      </c>
    </row>
    <row r="109" spans="2:16" ht="14.25" x14ac:dyDescent="0.2">
      <c r="B109" s="194">
        <v>1</v>
      </c>
      <c r="C109" s="201"/>
      <c r="D109" s="202"/>
      <c r="E109" s="203"/>
      <c r="F109" s="194"/>
      <c r="G109" s="194"/>
      <c r="H109" s="194"/>
      <c r="I109" s="194"/>
      <c r="J109" s="227"/>
      <c r="K109" s="106">
        <f t="shared" si="31"/>
        <v>0</v>
      </c>
      <c r="L109" s="98">
        <f t="shared" si="32"/>
        <v>0</v>
      </c>
      <c r="M109" s="98">
        <f t="shared" si="33"/>
        <v>0</v>
      </c>
      <c r="N109" s="98">
        <f t="shared" si="34"/>
        <v>0</v>
      </c>
      <c r="O109" s="98">
        <f t="shared" si="35"/>
        <v>0</v>
      </c>
      <c r="P109" s="99">
        <f t="shared" si="35"/>
        <v>0</v>
      </c>
    </row>
    <row r="110" spans="2:16" x14ac:dyDescent="0.2">
      <c r="B110" s="194">
        <v>1</v>
      </c>
      <c r="C110" s="244"/>
      <c r="D110" s="211"/>
      <c r="E110" s="193"/>
      <c r="F110" s="194"/>
      <c r="G110" s="194"/>
      <c r="H110" s="194"/>
      <c r="I110" s="194"/>
      <c r="J110" s="227"/>
      <c r="K110" s="106">
        <f t="shared" si="31"/>
        <v>0</v>
      </c>
      <c r="L110" s="98">
        <f t="shared" si="32"/>
        <v>0</v>
      </c>
      <c r="M110" s="98">
        <f t="shared" si="33"/>
        <v>0</v>
      </c>
      <c r="N110" s="98">
        <f t="shared" si="34"/>
        <v>0</v>
      </c>
      <c r="O110" s="98">
        <f t="shared" si="35"/>
        <v>0</v>
      </c>
      <c r="P110" s="99">
        <f t="shared" si="35"/>
        <v>0</v>
      </c>
    </row>
    <row r="111" spans="2:16" x14ac:dyDescent="0.2">
      <c r="B111" s="197">
        <v>1</v>
      </c>
      <c r="C111" s="245"/>
      <c r="D111" s="242"/>
      <c r="E111" s="196"/>
      <c r="F111" s="197"/>
      <c r="G111" s="197"/>
      <c r="H111" s="197"/>
      <c r="I111" s="197"/>
      <c r="J111" s="229"/>
      <c r="K111" s="107">
        <f t="shared" si="31"/>
        <v>0</v>
      </c>
      <c r="L111" s="101">
        <f t="shared" si="32"/>
        <v>0</v>
      </c>
      <c r="M111" s="101">
        <f t="shared" si="33"/>
        <v>0</v>
      </c>
      <c r="N111" s="101">
        <f t="shared" si="34"/>
        <v>0</v>
      </c>
      <c r="O111" s="101">
        <f t="shared" si="35"/>
        <v>0</v>
      </c>
      <c r="P111" s="102">
        <f t="shared" si="35"/>
        <v>0</v>
      </c>
    </row>
    <row r="112" spans="2:16" x14ac:dyDescent="0.2">
      <c r="B112" s="88"/>
      <c r="C112" s="212" t="s">
        <v>1</v>
      </c>
      <c r="D112" s="170">
        <f>SUM(D102:D111)</f>
        <v>0</v>
      </c>
      <c r="E112" s="143"/>
      <c r="F112" s="143"/>
      <c r="G112" s="143"/>
      <c r="H112" s="143"/>
      <c r="I112" s="143"/>
      <c r="J112" s="143"/>
      <c r="K112" s="144">
        <f t="shared" ref="K112:P112" si="36">SUM(K102:K111)</f>
        <v>0</v>
      </c>
      <c r="L112" s="144">
        <f t="shared" si="36"/>
        <v>0</v>
      </c>
      <c r="M112" s="144">
        <f t="shared" si="36"/>
        <v>0</v>
      </c>
      <c r="N112" s="144">
        <f t="shared" si="36"/>
        <v>0</v>
      </c>
      <c r="O112" s="144">
        <f t="shared" si="36"/>
        <v>0</v>
      </c>
      <c r="P112" s="144">
        <f t="shared" si="36"/>
        <v>0</v>
      </c>
    </row>
    <row r="113" spans="2:16" x14ac:dyDescent="0.2">
      <c r="B113" s="243"/>
      <c r="C113" s="222" t="s">
        <v>6</v>
      </c>
      <c r="D113" s="223" t="s">
        <v>291</v>
      </c>
      <c r="E113" s="145"/>
      <c r="F113" s="146"/>
      <c r="G113" s="146"/>
      <c r="H113" s="146"/>
      <c r="I113" s="146"/>
      <c r="J113" s="146"/>
      <c r="K113" s="145"/>
      <c r="L113" s="146"/>
      <c r="M113" s="146"/>
      <c r="N113" s="146"/>
      <c r="O113" s="146"/>
      <c r="P113" s="146"/>
    </row>
    <row r="114" spans="2:16" ht="14.25" x14ac:dyDescent="0.2">
      <c r="B114" s="230">
        <v>3</v>
      </c>
      <c r="C114" s="231"/>
      <c r="D114" s="232"/>
      <c r="E114" s="199"/>
      <c r="F114" s="191"/>
      <c r="G114" s="191"/>
      <c r="H114" s="191"/>
      <c r="I114" s="191"/>
      <c r="J114" s="225"/>
      <c r="K114" s="105">
        <f t="shared" ref="K114:K122" si="37">+$D114*E114*H$7</f>
        <v>0</v>
      </c>
      <c r="L114" s="95">
        <f t="shared" ref="L114:L122" si="38">+$D114*F114*K$7</f>
        <v>0</v>
      </c>
      <c r="M114" s="95">
        <f t="shared" ref="M114:M122" si="39">+$D114*G114*L$7</f>
        <v>0</v>
      </c>
      <c r="N114" s="95">
        <f t="shared" ref="N114:N122" si="40">+$D114*H114*M$7</f>
        <v>0</v>
      </c>
      <c r="O114" s="95">
        <f t="shared" ref="O114:P122" si="41">+$D114*I114*N$7</f>
        <v>0</v>
      </c>
      <c r="P114" s="96">
        <f t="shared" si="41"/>
        <v>0</v>
      </c>
    </row>
    <row r="115" spans="2:16" x14ac:dyDescent="0.2">
      <c r="B115" s="194">
        <v>5</v>
      </c>
      <c r="C115" s="188" t="s">
        <v>456</v>
      </c>
      <c r="D115" s="211">
        <v>375000</v>
      </c>
      <c r="E115" s="193">
        <v>2</v>
      </c>
      <c r="F115" s="194"/>
      <c r="G115" s="194"/>
      <c r="H115" s="194"/>
      <c r="I115" s="194"/>
      <c r="J115" s="227"/>
      <c r="K115" s="106">
        <f t="shared" si="37"/>
        <v>750000</v>
      </c>
      <c r="L115" s="98">
        <f t="shared" si="38"/>
        <v>0</v>
      </c>
      <c r="M115" s="98">
        <f t="shared" si="39"/>
        <v>0</v>
      </c>
      <c r="N115" s="98">
        <f t="shared" si="40"/>
        <v>0</v>
      </c>
      <c r="O115" s="98">
        <f t="shared" si="41"/>
        <v>0</v>
      </c>
      <c r="P115" s="99">
        <f t="shared" si="41"/>
        <v>0</v>
      </c>
    </row>
    <row r="116" spans="2:16" x14ac:dyDescent="0.2">
      <c r="B116" s="194">
        <v>5</v>
      </c>
      <c r="C116" s="188" t="s">
        <v>457</v>
      </c>
      <c r="D116" s="211">
        <v>600000</v>
      </c>
      <c r="E116" s="193">
        <v>1</v>
      </c>
      <c r="F116" s="194"/>
      <c r="G116" s="194"/>
      <c r="H116" s="194"/>
      <c r="I116" s="194"/>
      <c r="J116" s="227"/>
      <c r="K116" s="106">
        <f t="shared" si="37"/>
        <v>600000</v>
      </c>
      <c r="L116" s="98">
        <f t="shared" si="38"/>
        <v>0</v>
      </c>
      <c r="M116" s="98">
        <f t="shared" si="39"/>
        <v>0</v>
      </c>
      <c r="N116" s="98">
        <f t="shared" si="40"/>
        <v>0</v>
      </c>
      <c r="O116" s="98">
        <f t="shared" si="41"/>
        <v>0</v>
      </c>
      <c r="P116" s="99">
        <f t="shared" si="41"/>
        <v>0</v>
      </c>
    </row>
    <row r="117" spans="2:16" x14ac:dyDescent="0.2">
      <c r="B117" s="194">
        <v>5</v>
      </c>
      <c r="C117" s="188" t="s">
        <v>458</v>
      </c>
      <c r="D117" s="211">
        <v>70000</v>
      </c>
      <c r="E117" s="193">
        <v>3</v>
      </c>
      <c r="F117" s="194"/>
      <c r="G117" s="194"/>
      <c r="H117" s="194"/>
      <c r="I117" s="194"/>
      <c r="J117" s="227"/>
      <c r="K117" s="106">
        <f t="shared" si="37"/>
        <v>210000</v>
      </c>
      <c r="L117" s="98">
        <f t="shared" si="38"/>
        <v>0</v>
      </c>
      <c r="M117" s="98">
        <f t="shared" si="39"/>
        <v>0</v>
      </c>
      <c r="N117" s="98">
        <f t="shared" si="40"/>
        <v>0</v>
      </c>
      <c r="O117" s="98">
        <f t="shared" si="41"/>
        <v>0</v>
      </c>
      <c r="P117" s="99">
        <f t="shared" si="41"/>
        <v>0</v>
      </c>
    </row>
    <row r="118" spans="2:16" x14ac:dyDescent="0.2">
      <c r="B118" s="194">
        <v>5</v>
      </c>
      <c r="C118" s="188" t="s">
        <v>459</v>
      </c>
      <c r="D118" s="211">
        <v>500000</v>
      </c>
      <c r="E118" s="193">
        <v>6</v>
      </c>
      <c r="F118" s="194"/>
      <c r="G118" s="194"/>
      <c r="H118" s="194"/>
      <c r="I118" s="194"/>
      <c r="J118" s="227"/>
      <c r="K118" s="106">
        <f t="shared" si="37"/>
        <v>3000000</v>
      </c>
      <c r="L118" s="98">
        <f t="shared" si="38"/>
        <v>0</v>
      </c>
      <c r="M118" s="98">
        <f t="shared" si="39"/>
        <v>0</v>
      </c>
      <c r="N118" s="98">
        <f t="shared" si="40"/>
        <v>0</v>
      </c>
      <c r="O118" s="98">
        <f t="shared" si="41"/>
        <v>0</v>
      </c>
      <c r="P118" s="99">
        <f t="shared" si="41"/>
        <v>0</v>
      </c>
    </row>
    <row r="119" spans="2:16" x14ac:dyDescent="0.2">
      <c r="B119" s="194">
        <v>5</v>
      </c>
      <c r="C119" s="188" t="s">
        <v>521</v>
      </c>
      <c r="D119" s="211">
        <v>1400000</v>
      </c>
      <c r="E119" s="193">
        <v>1</v>
      </c>
      <c r="F119" s="194"/>
      <c r="G119" s="194"/>
      <c r="H119" s="194"/>
      <c r="I119" s="194"/>
      <c r="J119" s="227"/>
      <c r="K119" s="106">
        <f t="shared" si="37"/>
        <v>1400000</v>
      </c>
      <c r="L119" s="98">
        <f t="shared" si="38"/>
        <v>0</v>
      </c>
      <c r="M119" s="98">
        <f t="shared" si="39"/>
        <v>0</v>
      </c>
      <c r="N119" s="98">
        <f t="shared" si="40"/>
        <v>0</v>
      </c>
      <c r="O119" s="98">
        <f t="shared" si="41"/>
        <v>0</v>
      </c>
      <c r="P119" s="99">
        <f t="shared" si="41"/>
        <v>0</v>
      </c>
    </row>
    <row r="120" spans="2:16" x14ac:dyDescent="0.2">
      <c r="B120" s="194">
        <v>3</v>
      </c>
      <c r="C120" s="188"/>
      <c r="D120" s="211"/>
      <c r="E120" s="193"/>
      <c r="F120" s="194"/>
      <c r="G120" s="194"/>
      <c r="H120" s="194"/>
      <c r="I120" s="194"/>
      <c r="J120" s="227"/>
      <c r="K120" s="106">
        <f t="shared" si="37"/>
        <v>0</v>
      </c>
      <c r="L120" s="98">
        <f t="shared" si="38"/>
        <v>0</v>
      </c>
      <c r="M120" s="98">
        <f t="shared" si="39"/>
        <v>0</v>
      </c>
      <c r="N120" s="98">
        <f t="shared" si="40"/>
        <v>0</v>
      </c>
      <c r="O120" s="98">
        <f t="shared" si="41"/>
        <v>0</v>
      </c>
      <c r="P120" s="99">
        <f t="shared" si="41"/>
        <v>0</v>
      </c>
    </row>
    <row r="121" spans="2:16" x14ac:dyDescent="0.2">
      <c r="B121" s="194">
        <v>3</v>
      </c>
      <c r="C121" s="188"/>
      <c r="D121" s="211"/>
      <c r="E121" s="193"/>
      <c r="F121" s="194"/>
      <c r="G121" s="194"/>
      <c r="H121" s="194"/>
      <c r="I121" s="194"/>
      <c r="J121" s="227"/>
      <c r="K121" s="106">
        <f t="shared" si="37"/>
        <v>0</v>
      </c>
      <c r="L121" s="98">
        <f t="shared" si="38"/>
        <v>0</v>
      </c>
      <c r="M121" s="98">
        <f t="shared" si="39"/>
        <v>0</v>
      </c>
      <c r="N121" s="98">
        <f t="shared" si="40"/>
        <v>0</v>
      </c>
      <c r="O121" s="98">
        <f t="shared" si="41"/>
        <v>0</v>
      </c>
      <c r="P121" s="99">
        <f t="shared" si="41"/>
        <v>0</v>
      </c>
    </row>
    <row r="122" spans="2:16" x14ac:dyDescent="0.2">
      <c r="B122" s="197">
        <v>3</v>
      </c>
      <c r="C122" s="219"/>
      <c r="D122" s="215"/>
      <c r="E122" s="196"/>
      <c r="F122" s="197"/>
      <c r="G122" s="197"/>
      <c r="H122" s="197"/>
      <c r="I122" s="197"/>
      <c r="J122" s="229"/>
      <c r="K122" s="107">
        <f t="shared" si="37"/>
        <v>0</v>
      </c>
      <c r="L122" s="101">
        <f t="shared" si="38"/>
        <v>0</v>
      </c>
      <c r="M122" s="101">
        <f t="shared" si="39"/>
        <v>0</v>
      </c>
      <c r="N122" s="101">
        <f t="shared" si="40"/>
        <v>0</v>
      </c>
      <c r="O122" s="101">
        <f t="shared" si="41"/>
        <v>0</v>
      </c>
      <c r="P122" s="102">
        <f t="shared" si="41"/>
        <v>0</v>
      </c>
    </row>
    <row r="123" spans="2:16" x14ac:dyDescent="0.2">
      <c r="B123" s="88"/>
      <c r="C123" s="212" t="s">
        <v>1</v>
      </c>
      <c r="D123" s="170">
        <f>SUM(D114:D122)</f>
        <v>2945000</v>
      </c>
      <c r="E123" s="143"/>
      <c r="F123" s="143"/>
      <c r="G123" s="143"/>
      <c r="H123" s="143"/>
      <c r="I123" s="143"/>
      <c r="J123" s="143"/>
      <c r="K123" s="144">
        <f t="shared" ref="K123:P123" si="42">SUM(K114:K122)</f>
        <v>5960000</v>
      </c>
      <c r="L123" s="144">
        <f t="shared" si="42"/>
        <v>0</v>
      </c>
      <c r="M123" s="144">
        <f t="shared" si="42"/>
        <v>0</v>
      </c>
      <c r="N123" s="144">
        <f t="shared" si="42"/>
        <v>0</v>
      </c>
      <c r="O123" s="144">
        <f t="shared" si="42"/>
        <v>0</v>
      </c>
      <c r="P123" s="144">
        <f t="shared" si="42"/>
        <v>0</v>
      </c>
    </row>
    <row r="124" spans="2:16" ht="22.5" customHeight="1" x14ac:dyDescent="0.2">
      <c r="C124" s="39"/>
      <c r="D124" s="39"/>
      <c r="K124" s="40"/>
      <c r="L124" s="41"/>
      <c r="M124" s="41"/>
      <c r="N124" s="41"/>
      <c r="O124" s="41"/>
    </row>
    <row r="125" spans="2:16" ht="18" customHeight="1" x14ac:dyDescent="0.2">
      <c r="C125" s="42"/>
      <c r="D125" s="42"/>
      <c r="E125" s="42"/>
      <c r="F125" s="42"/>
      <c r="G125" s="42"/>
      <c r="H125" s="42"/>
      <c r="I125" s="42"/>
      <c r="J125" s="42"/>
      <c r="K125" s="43"/>
      <c r="L125" s="43"/>
      <c r="M125" s="43"/>
      <c r="N125" s="43"/>
      <c r="O125" s="43"/>
    </row>
    <row r="126" spans="2:16" ht="18" customHeight="1" x14ac:dyDescent="0.2">
      <c r="C126" s="42"/>
      <c r="D126" s="42"/>
      <c r="E126" s="42"/>
      <c r="F126" s="42"/>
      <c r="G126" s="42"/>
      <c r="H126" s="42"/>
      <c r="I126" s="42"/>
      <c r="J126" s="42"/>
      <c r="K126" s="43"/>
      <c r="L126" s="43"/>
      <c r="M126" s="43"/>
      <c r="N126" s="43"/>
      <c r="O126" s="43"/>
    </row>
    <row r="127" spans="2:16" ht="18" customHeight="1" x14ac:dyDescent="0.2">
      <c r="C127" s="39"/>
      <c r="D127" s="39"/>
      <c r="E127" s="40"/>
      <c r="F127" s="41"/>
      <c r="G127" s="41"/>
      <c r="H127" s="41"/>
      <c r="I127" s="41"/>
      <c r="J127" s="41"/>
      <c r="K127" s="23"/>
    </row>
    <row r="128" spans="2:16" ht="18" customHeight="1" x14ac:dyDescent="0.2">
      <c r="C128" s="44"/>
      <c r="D128" s="44"/>
      <c r="E128" s="45"/>
      <c r="F128" s="44"/>
      <c r="G128" s="44"/>
      <c r="H128" s="44"/>
      <c r="I128" s="44"/>
      <c r="J128" s="44"/>
      <c r="K128" s="46"/>
      <c r="L128" s="47"/>
      <c r="M128" s="47"/>
    </row>
    <row r="129" spans="2:16" x14ac:dyDescent="0.2">
      <c r="C129" s="153" t="s">
        <v>95</v>
      </c>
      <c r="D129" s="124" t="s">
        <v>0</v>
      </c>
      <c r="E129" s="154" t="s">
        <v>4</v>
      </c>
      <c r="F129" s="155" t="s">
        <v>326</v>
      </c>
      <c r="G129" s="155" t="s">
        <v>327</v>
      </c>
      <c r="H129" s="155" t="s">
        <v>328</v>
      </c>
      <c r="I129" s="155" t="s">
        <v>329</v>
      </c>
      <c r="J129" s="155" t="s">
        <v>393</v>
      </c>
      <c r="K129" s="45"/>
      <c r="L129" s="45"/>
      <c r="M129" s="45"/>
    </row>
    <row r="130" spans="2:16" x14ac:dyDescent="0.2">
      <c r="C130" s="109" t="str">
        <f>+C12</f>
        <v>Terrenos</v>
      </c>
      <c r="D130" s="110">
        <f t="shared" ref="D130:D136" si="43">SUM(E130:J130)</f>
        <v>0</v>
      </c>
      <c r="E130" s="111">
        <f t="shared" ref="E130:J130" si="44">+K23</f>
        <v>0</v>
      </c>
      <c r="F130" s="111">
        <f t="shared" si="44"/>
        <v>0</v>
      </c>
      <c r="G130" s="111">
        <f t="shared" si="44"/>
        <v>0</v>
      </c>
      <c r="H130" s="111">
        <f t="shared" si="44"/>
        <v>0</v>
      </c>
      <c r="I130" s="111">
        <f t="shared" si="44"/>
        <v>0</v>
      </c>
      <c r="J130" s="111">
        <f t="shared" si="44"/>
        <v>0</v>
      </c>
      <c r="K130" s="45"/>
      <c r="L130" s="45"/>
      <c r="M130" s="45"/>
    </row>
    <row r="131" spans="2:16" x14ac:dyDescent="0.2">
      <c r="C131" s="109" t="str">
        <f>+C24</f>
        <v>Edificaciones</v>
      </c>
      <c r="D131" s="110">
        <f t="shared" si="43"/>
        <v>0</v>
      </c>
      <c r="E131" s="111">
        <f t="shared" ref="E131:J131" si="45">+K35</f>
        <v>0</v>
      </c>
      <c r="F131" s="111">
        <f t="shared" si="45"/>
        <v>0</v>
      </c>
      <c r="G131" s="111">
        <f t="shared" si="45"/>
        <v>0</v>
      </c>
      <c r="H131" s="111">
        <f t="shared" si="45"/>
        <v>0</v>
      </c>
      <c r="I131" s="111">
        <f t="shared" si="45"/>
        <v>0</v>
      </c>
      <c r="J131" s="111">
        <f t="shared" si="45"/>
        <v>0</v>
      </c>
      <c r="K131" s="45"/>
      <c r="L131" s="45"/>
      <c r="M131" s="45"/>
    </row>
    <row r="132" spans="2:16" x14ac:dyDescent="0.2">
      <c r="C132" s="112" t="str">
        <f>C36</f>
        <v>Maquinaria y Equipo</v>
      </c>
      <c r="D132" s="110">
        <f t="shared" si="43"/>
        <v>64770000</v>
      </c>
      <c r="E132" s="111">
        <f t="shared" ref="E132:J132" si="46">K58</f>
        <v>64770000</v>
      </c>
      <c r="F132" s="111">
        <f t="shared" si="46"/>
        <v>0</v>
      </c>
      <c r="G132" s="111">
        <f t="shared" si="46"/>
        <v>0</v>
      </c>
      <c r="H132" s="111">
        <f t="shared" si="46"/>
        <v>0</v>
      </c>
      <c r="I132" s="111">
        <f t="shared" si="46"/>
        <v>0</v>
      </c>
      <c r="J132" s="111">
        <f t="shared" si="46"/>
        <v>0</v>
      </c>
      <c r="K132" s="47"/>
      <c r="L132" s="48"/>
      <c r="M132" s="47"/>
    </row>
    <row r="133" spans="2:16" x14ac:dyDescent="0.2">
      <c r="C133" s="112" t="str">
        <f>C59</f>
        <v>Muebles y Enseres</v>
      </c>
      <c r="D133" s="110">
        <f t="shared" si="43"/>
        <v>30270000</v>
      </c>
      <c r="E133" s="111">
        <f t="shared" ref="E133:J133" si="47">K81</f>
        <v>30270000</v>
      </c>
      <c r="F133" s="111">
        <f t="shared" si="47"/>
        <v>0</v>
      </c>
      <c r="G133" s="111">
        <f t="shared" si="47"/>
        <v>0</v>
      </c>
      <c r="H133" s="111">
        <f t="shared" si="47"/>
        <v>0</v>
      </c>
      <c r="I133" s="111">
        <f t="shared" si="47"/>
        <v>0</v>
      </c>
      <c r="J133" s="111">
        <f t="shared" si="47"/>
        <v>0</v>
      </c>
      <c r="K133" s="47"/>
      <c r="L133" s="48"/>
      <c r="M133" s="47"/>
    </row>
    <row r="134" spans="2:16" x14ac:dyDescent="0.2">
      <c r="C134" s="112" t="str">
        <f>C82</f>
        <v>Equipo de Computo</v>
      </c>
      <c r="D134" s="110">
        <f t="shared" si="43"/>
        <v>6000000</v>
      </c>
      <c r="E134" s="111">
        <f t="shared" ref="E134:J134" si="48">K100</f>
        <v>6000000</v>
      </c>
      <c r="F134" s="111">
        <f t="shared" si="48"/>
        <v>0</v>
      </c>
      <c r="G134" s="111">
        <f t="shared" si="48"/>
        <v>0</v>
      </c>
      <c r="H134" s="111">
        <f t="shared" si="48"/>
        <v>0</v>
      </c>
      <c r="I134" s="111">
        <f t="shared" si="48"/>
        <v>0</v>
      </c>
      <c r="J134" s="111">
        <f t="shared" si="48"/>
        <v>0</v>
      </c>
      <c r="K134" s="47"/>
      <c r="L134" s="48"/>
      <c r="M134" s="47"/>
    </row>
    <row r="135" spans="2:16" x14ac:dyDescent="0.2">
      <c r="C135" s="112" t="str">
        <f>C101</f>
        <v>Herramientas</v>
      </c>
      <c r="D135" s="110">
        <f t="shared" si="43"/>
        <v>0</v>
      </c>
      <c r="E135" s="111">
        <f t="shared" ref="E135:J135" si="49">K112</f>
        <v>0</v>
      </c>
      <c r="F135" s="111">
        <f t="shared" si="49"/>
        <v>0</v>
      </c>
      <c r="G135" s="111">
        <f t="shared" si="49"/>
        <v>0</v>
      </c>
      <c r="H135" s="111">
        <f t="shared" si="49"/>
        <v>0</v>
      </c>
      <c r="I135" s="111">
        <f t="shared" si="49"/>
        <v>0</v>
      </c>
      <c r="J135" s="111">
        <f t="shared" si="49"/>
        <v>0</v>
      </c>
      <c r="K135" s="47"/>
      <c r="L135" s="48"/>
      <c r="M135" s="47"/>
    </row>
    <row r="136" spans="2:16" x14ac:dyDescent="0.2">
      <c r="C136" s="112" t="str">
        <f>C113</f>
        <v>Equipos de red</v>
      </c>
      <c r="D136" s="110">
        <f t="shared" si="43"/>
        <v>5960000</v>
      </c>
      <c r="E136" s="111">
        <f t="shared" ref="E136:J136" si="50">K123</f>
        <v>5960000</v>
      </c>
      <c r="F136" s="111">
        <f t="shared" si="50"/>
        <v>0</v>
      </c>
      <c r="G136" s="111">
        <f t="shared" si="50"/>
        <v>0</v>
      </c>
      <c r="H136" s="111">
        <f t="shared" si="50"/>
        <v>0</v>
      </c>
      <c r="I136" s="111">
        <f t="shared" si="50"/>
        <v>0</v>
      </c>
      <c r="J136" s="111">
        <f t="shared" si="50"/>
        <v>0</v>
      </c>
      <c r="K136" s="47"/>
      <c r="L136" s="48"/>
      <c r="M136" s="47"/>
    </row>
    <row r="137" spans="2:16" x14ac:dyDescent="0.2">
      <c r="C137" s="112"/>
      <c r="D137" s="110"/>
      <c r="E137" s="111"/>
      <c r="F137" s="111"/>
      <c r="G137" s="111"/>
      <c r="H137" s="111"/>
      <c r="I137" s="111"/>
      <c r="J137" s="111"/>
      <c r="K137" s="47"/>
      <c r="L137" s="48"/>
      <c r="M137" s="47"/>
    </row>
    <row r="138" spans="2:16" x14ac:dyDescent="0.2">
      <c r="C138" s="153" t="s">
        <v>72</v>
      </c>
      <c r="D138" s="156">
        <f t="shared" ref="D138:J138" si="51">SUM(D130:D137)</f>
        <v>107000000</v>
      </c>
      <c r="E138" s="156">
        <f t="shared" si="51"/>
        <v>107000000</v>
      </c>
      <c r="F138" s="156">
        <f t="shared" si="51"/>
        <v>0</v>
      </c>
      <c r="G138" s="156">
        <f t="shared" si="51"/>
        <v>0</v>
      </c>
      <c r="H138" s="156">
        <f t="shared" si="51"/>
        <v>0</v>
      </c>
      <c r="I138" s="156">
        <f t="shared" si="51"/>
        <v>0</v>
      </c>
      <c r="J138" s="156">
        <f t="shared" si="51"/>
        <v>0</v>
      </c>
      <c r="K138" s="47"/>
      <c r="L138" s="48"/>
      <c r="M138" s="47"/>
    </row>
    <row r="139" spans="2:16" x14ac:dyDescent="0.2">
      <c r="C139" s="39"/>
      <c r="D139" s="49"/>
      <c r="E139" s="49"/>
      <c r="F139" s="49"/>
      <c r="G139" s="49"/>
      <c r="H139" s="49"/>
      <c r="I139" s="49"/>
      <c r="J139" s="49"/>
      <c r="K139" s="23"/>
    </row>
    <row r="140" spans="2:16" x14ac:dyDescent="0.2">
      <c r="K140" s="23"/>
    </row>
    <row r="141" spans="2:16" x14ac:dyDescent="0.2">
      <c r="B141" s="273"/>
      <c r="C141" s="222" t="s">
        <v>71</v>
      </c>
      <c r="D141" s="223" t="s">
        <v>291</v>
      </c>
      <c r="E141" s="145" t="s">
        <v>4</v>
      </c>
      <c r="F141" s="155" t="s">
        <v>326</v>
      </c>
      <c r="G141" s="155" t="s">
        <v>327</v>
      </c>
      <c r="H141" s="155" t="s">
        <v>328</v>
      </c>
      <c r="I141" s="155" t="s">
        <v>329</v>
      </c>
      <c r="J141" s="165" t="s">
        <v>393</v>
      </c>
      <c r="K141" s="164" t="s">
        <v>4</v>
      </c>
      <c r="L141" s="155" t="s">
        <v>326</v>
      </c>
      <c r="M141" s="155" t="s">
        <v>327</v>
      </c>
      <c r="N141" s="155" t="s">
        <v>328</v>
      </c>
      <c r="O141" s="155" t="s">
        <v>329</v>
      </c>
      <c r="P141" s="155" t="s">
        <v>393</v>
      </c>
    </row>
    <row r="142" spans="2:16" ht="14.25" x14ac:dyDescent="0.2">
      <c r="B142" s="230">
        <v>1</v>
      </c>
      <c r="C142" s="271"/>
      <c r="D142" s="272"/>
      <c r="E142" s="265"/>
      <c r="F142" s="250"/>
      <c r="G142" s="250"/>
      <c r="H142" s="250"/>
      <c r="I142" s="250"/>
      <c r="J142" s="251"/>
      <c r="K142" s="105">
        <f t="shared" ref="K142:K155" si="52">+$D142*E142*H$7</f>
        <v>0</v>
      </c>
      <c r="L142" s="95">
        <f t="shared" ref="L142:L155" si="53">+$D142*F142*K$7</f>
        <v>0</v>
      </c>
      <c r="M142" s="95">
        <f t="shared" ref="M142:M155" si="54">+$D142*G142*L$7</f>
        <v>0</v>
      </c>
      <c r="N142" s="95">
        <f t="shared" ref="N142:N155" si="55">+$D142*H142*M$7</f>
        <v>0</v>
      </c>
      <c r="O142" s="95">
        <f t="shared" ref="O142:P155" si="56">+$D142*I142*N$7</f>
        <v>0</v>
      </c>
      <c r="P142" s="96">
        <f>+$D142*J142*O$7</f>
        <v>0</v>
      </c>
    </row>
    <row r="143" spans="2:16" ht="14.25" x14ac:dyDescent="0.2">
      <c r="B143" s="194">
        <v>1</v>
      </c>
      <c r="C143" s="264"/>
      <c r="D143" s="247"/>
      <c r="E143" s="266"/>
      <c r="F143" s="254"/>
      <c r="G143" s="254"/>
      <c r="H143" s="254"/>
      <c r="I143" s="254"/>
      <c r="J143" s="255"/>
      <c r="K143" s="106">
        <f t="shared" si="52"/>
        <v>0</v>
      </c>
      <c r="L143" s="98">
        <f t="shared" si="53"/>
        <v>0</v>
      </c>
      <c r="M143" s="98">
        <f t="shared" si="54"/>
        <v>0</v>
      </c>
      <c r="N143" s="98">
        <f t="shared" si="55"/>
        <v>0</v>
      </c>
      <c r="O143" s="98">
        <f t="shared" si="56"/>
        <v>0</v>
      </c>
      <c r="P143" s="99">
        <f t="shared" si="56"/>
        <v>0</v>
      </c>
    </row>
    <row r="144" spans="2:16" x14ac:dyDescent="0.2">
      <c r="B144" s="194">
        <v>1</v>
      </c>
      <c r="C144" s="240"/>
      <c r="D144" s="257"/>
      <c r="E144" s="252"/>
      <c r="F144" s="254"/>
      <c r="G144" s="254"/>
      <c r="H144" s="254"/>
      <c r="I144" s="254"/>
      <c r="J144" s="255"/>
      <c r="K144" s="106">
        <f t="shared" si="52"/>
        <v>0</v>
      </c>
      <c r="L144" s="98">
        <f t="shared" si="53"/>
        <v>0</v>
      </c>
      <c r="M144" s="98">
        <f t="shared" si="54"/>
        <v>0</v>
      </c>
      <c r="N144" s="98">
        <f t="shared" si="55"/>
        <v>0</v>
      </c>
      <c r="O144" s="98">
        <f t="shared" si="56"/>
        <v>0</v>
      </c>
      <c r="P144" s="99">
        <f t="shared" si="56"/>
        <v>0</v>
      </c>
    </row>
    <row r="145" spans="2:16" x14ac:dyDescent="0.2">
      <c r="B145" s="194">
        <v>1</v>
      </c>
      <c r="C145" s="240"/>
      <c r="D145" s="259"/>
      <c r="E145" s="260"/>
      <c r="F145" s="254"/>
      <c r="G145" s="254"/>
      <c r="H145" s="254"/>
      <c r="I145" s="254"/>
      <c r="J145" s="255"/>
      <c r="K145" s="106">
        <f t="shared" si="52"/>
        <v>0</v>
      </c>
      <c r="L145" s="98">
        <f t="shared" si="53"/>
        <v>0</v>
      </c>
      <c r="M145" s="98">
        <f t="shared" si="54"/>
        <v>0</v>
      </c>
      <c r="N145" s="98">
        <f t="shared" si="55"/>
        <v>0</v>
      </c>
      <c r="O145" s="98">
        <f t="shared" si="56"/>
        <v>0</v>
      </c>
      <c r="P145" s="99">
        <f t="shared" si="56"/>
        <v>0</v>
      </c>
    </row>
    <row r="146" spans="2:16" x14ac:dyDescent="0.2">
      <c r="B146" s="194">
        <v>1</v>
      </c>
      <c r="C146" s="240"/>
      <c r="D146" s="259"/>
      <c r="E146" s="260"/>
      <c r="F146" s="254"/>
      <c r="G146" s="254"/>
      <c r="H146" s="254"/>
      <c r="I146" s="254"/>
      <c r="J146" s="255"/>
      <c r="K146" s="106">
        <f t="shared" si="52"/>
        <v>0</v>
      </c>
      <c r="L146" s="98">
        <f t="shared" si="53"/>
        <v>0</v>
      </c>
      <c r="M146" s="98">
        <f t="shared" si="54"/>
        <v>0</v>
      </c>
      <c r="N146" s="98">
        <f t="shared" si="55"/>
        <v>0</v>
      </c>
      <c r="O146" s="98">
        <f t="shared" si="56"/>
        <v>0</v>
      </c>
      <c r="P146" s="99">
        <f t="shared" si="56"/>
        <v>0</v>
      </c>
    </row>
    <row r="147" spans="2:16" x14ac:dyDescent="0.2">
      <c r="B147" s="194">
        <v>1</v>
      </c>
      <c r="C147" s="240"/>
      <c r="D147" s="259"/>
      <c r="E147" s="260"/>
      <c r="F147" s="254"/>
      <c r="G147" s="254"/>
      <c r="H147" s="254"/>
      <c r="I147" s="254"/>
      <c r="J147" s="255"/>
      <c r="K147" s="106">
        <f t="shared" si="52"/>
        <v>0</v>
      </c>
      <c r="L147" s="98">
        <f t="shared" si="53"/>
        <v>0</v>
      </c>
      <c r="M147" s="98">
        <f t="shared" si="54"/>
        <v>0</v>
      </c>
      <c r="N147" s="98">
        <f t="shared" si="55"/>
        <v>0</v>
      </c>
      <c r="O147" s="98">
        <f t="shared" si="56"/>
        <v>0</v>
      </c>
      <c r="P147" s="99">
        <f t="shared" si="56"/>
        <v>0</v>
      </c>
    </row>
    <row r="148" spans="2:16" x14ac:dyDescent="0.2">
      <c r="B148" s="194">
        <v>1</v>
      </c>
      <c r="C148" s="241"/>
      <c r="D148" s="259"/>
      <c r="E148" s="260"/>
      <c r="F148" s="254"/>
      <c r="G148" s="254"/>
      <c r="H148" s="254"/>
      <c r="I148" s="254"/>
      <c r="J148" s="255"/>
      <c r="K148" s="106">
        <f t="shared" si="52"/>
        <v>0</v>
      </c>
      <c r="L148" s="98">
        <f t="shared" si="53"/>
        <v>0</v>
      </c>
      <c r="M148" s="98">
        <f t="shared" si="54"/>
        <v>0</v>
      </c>
      <c r="N148" s="98">
        <f t="shared" si="55"/>
        <v>0</v>
      </c>
      <c r="O148" s="98">
        <f t="shared" si="56"/>
        <v>0</v>
      </c>
      <c r="P148" s="99">
        <f t="shared" si="56"/>
        <v>0</v>
      </c>
    </row>
    <row r="149" spans="2:16" x14ac:dyDescent="0.2">
      <c r="B149" s="194">
        <v>2</v>
      </c>
      <c r="C149" s="210"/>
      <c r="D149" s="259"/>
      <c r="E149" s="260"/>
      <c r="F149" s="254"/>
      <c r="G149" s="254"/>
      <c r="H149" s="254"/>
      <c r="I149" s="254"/>
      <c r="J149" s="255"/>
      <c r="K149" s="106">
        <f t="shared" si="52"/>
        <v>0</v>
      </c>
      <c r="L149" s="98">
        <f t="shared" si="53"/>
        <v>0</v>
      </c>
      <c r="M149" s="98">
        <f t="shared" si="54"/>
        <v>0</v>
      </c>
      <c r="N149" s="98">
        <f t="shared" si="55"/>
        <v>0</v>
      </c>
      <c r="O149" s="98">
        <f t="shared" si="56"/>
        <v>0</v>
      </c>
      <c r="P149" s="99">
        <f t="shared" si="56"/>
        <v>0</v>
      </c>
    </row>
    <row r="150" spans="2:16" x14ac:dyDescent="0.2">
      <c r="B150" s="194">
        <v>2</v>
      </c>
      <c r="C150" s="267"/>
      <c r="D150" s="259"/>
      <c r="E150" s="260"/>
      <c r="F150" s="254"/>
      <c r="G150" s="254"/>
      <c r="H150" s="254"/>
      <c r="I150" s="254"/>
      <c r="J150" s="255"/>
      <c r="K150" s="106">
        <f t="shared" si="52"/>
        <v>0</v>
      </c>
      <c r="L150" s="98">
        <f t="shared" si="53"/>
        <v>0</v>
      </c>
      <c r="M150" s="98">
        <f t="shared" si="54"/>
        <v>0</v>
      </c>
      <c r="N150" s="98">
        <f t="shared" si="55"/>
        <v>0</v>
      </c>
      <c r="O150" s="98">
        <f t="shared" si="56"/>
        <v>0</v>
      </c>
      <c r="P150" s="99">
        <f t="shared" si="56"/>
        <v>0</v>
      </c>
    </row>
    <row r="151" spans="2:16" x14ac:dyDescent="0.2">
      <c r="B151" s="194">
        <v>2</v>
      </c>
      <c r="C151" s="268"/>
      <c r="D151" s="259"/>
      <c r="E151" s="260"/>
      <c r="F151" s="254"/>
      <c r="G151" s="254"/>
      <c r="H151" s="254"/>
      <c r="I151" s="254"/>
      <c r="J151" s="255"/>
      <c r="K151" s="106">
        <f t="shared" si="52"/>
        <v>0</v>
      </c>
      <c r="L151" s="98">
        <f t="shared" si="53"/>
        <v>0</v>
      </c>
      <c r="M151" s="98">
        <f t="shared" si="54"/>
        <v>0</v>
      </c>
      <c r="N151" s="98">
        <f t="shared" si="55"/>
        <v>0</v>
      </c>
      <c r="O151" s="98">
        <f t="shared" si="56"/>
        <v>0</v>
      </c>
      <c r="P151" s="99">
        <f t="shared" si="56"/>
        <v>0</v>
      </c>
    </row>
    <row r="152" spans="2:16" x14ac:dyDescent="0.2">
      <c r="B152" s="194">
        <v>2</v>
      </c>
      <c r="C152" s="268"/>
      <c r="D152" s="259"/>
      <c r="E152" s="260"/>
      <c r="F152" s="254"/>
      <c r="G152" s="254"/>
      <c r="H152" s="254"/>
      <c r="I152" s="254"/>
      <c r="J152" s="255"/>
      <c r="K152" s="106">
        <f t="shared" si="52"/>
        <v>0</v>
      </c>
      <c r="L152" s="98">
        <f t="shared" si="53"/>
        <v>0</v>
      </c>
      <c r="M152" s="98">
        <f t="shared" si="54"/>
        <v>0</v>
      </c>
      <c r="N152" s="98">
        <f t="shared" si="55"/>
        <v>0</v>
      </c>
      <c r="O152" s="98">
        <f t="shared" si="56"/>
        <v>0</v>
      </c>
      <c r="P152" s="99">
        <f t="shared" si="56"/>
        <v>0</v>
      </c>
    </row>
    <row r="153" spans="2:16" x14ac:dyDescent="0.2">
      <c r="B153" s="194">
        <v>2</v>
      </c>
      <c r="C153" s="268"/>
      <c r="D153" s="259"/>
      <c r="E153" s="260"/>
      <c r="F153" s="254"/>
      <c r="G153" s="254"/>
      <c r="H153" s="254"/>
      <c r="I153" s="254"/>
      <c r="J153" s="255"/>
      <c r="K153" s="106">
        <f t="shared" si="52"/>
        <v>0</v>
      </c>
      <c r="L153" s="98">
        <f t="shared" si="53"/>
        <v>0</v>
      </c>
      <c r="M153" s="98">
        <f t="shared" si="54"/>
        <v>0</v>
      </c>
      <c r="N153" s="98">
        <f t="shared" si="55"/>
        <v>0</v>
      </c>
      <c r="O153" s="98">
        <f t="shared" si="56"/>
        <v>0</v>
      </c>
      <c r="P153" s="99">
        <f t="shared" si="56"/>
        <v>0</v>
      </c>
    </row>
    <row r="154" spans="2:16" x14ac:dyDescent="0.2">
      <c r="B154" s="194">
        <v>2</v>
      </c>
      <c r="C154" s="268"/>
      <c r="D154" s="259"/>
      <c r="E154" s="260"/>
      <c r="F154" s="254"/>
      <c r="G154" s="254"/>
      <c r="H154" s="254"/>
      <c r="I154" s="254"/>
      <c r="J154" s="255"/>
      <c r="K154" s="106">
        <f t="shared" si="52"/>
        <v>0</v>
      </c>
      <c r="L154" s="98">
        <f t="shared" si="53"/>
        <v>0</v>
      </c>
      <c r="M154" s="98">
        <f t="shared" si="54"/>
        <v>0</v>
      </c>
      <c r="N154" s="98">
        <f t="shared" si="55"/>
        <v>0</v>
      </c>
      <c r="O154" s="98">
        <f t="shared" si="56"/>
        <v>0</v>
      </c>
      <c r="P154" s="99">
        <f t="shared" si="56"/>
        <v>0</v>
      </c>
    </row>
    <row r="155" spans="2:16" x14ac:dyDescent="0.2">
      <c r="B155" s="197">
        <v>2</v>
      </c>
      <c r="C155" s="269"/>
      <c r="D155" s="270"/>
      <c r="E155" s="261"/>
      <c r="F155" s="262"/>
      <c r="G155" s="262"/>
      <c r="H155" s="262"/>
      <c r="I155" s="262"/>
      <c r="J155" s="263"/>
      <c r="K155" s="107">
        <f t="shared" si="52"/>
        <v>0</v>
      </c>
      <c r="L155" s="101">
        <f t="shared" si="53"/>
        <v>0</v>
      </c>
      <c r="M155" s="101">
        <f t="shared" si="54"/>
        <v>0</v>
      </c>
      <c r="N155" s="101">
        <f t="shared" si="55"/>
        <v>0</v>
      </c>
      <c r="O155" s="101">
        <f t="shared" si="56"/>
        <v>0</v>
      </c>
      <c r="P155" s="102">
        <f>+$D155*J155*O$7</f>
        <v>0</v>
      </c>
    </row>
    <row r="156" spans="2:16" x14ac:dyDescent="0.2">
      <c r="B156" s="88"/>
      <c r="C156" s="212" t="s">
        <v>73</v>
      </c>
      <c r="D156" s="152">
        <f>SUM(D142:D155)</f>
        <v>0</v>
      </c>
      <c r="E156" s="152"/>
      <c r="F156" s="152"/>
      <c r="G156" s="152"/>
      <c r="H156" s="152"/>
      <c r="I156" s="152"/>
      <c r="J156" s="152"/>
      <c r="K156" s="152">
        <f t="shared" ref="K156:P156" si="57">SUM(K142:K155)</f>
        <v>0</v>
      </c>
      <c r="L156" s="152">
        <f t="shared" si="57"/>
        <v>0</v>
      </c>
      <c r="M156" s="152">
        <f t="shared" si="57"/>
        <v>0</v>
      </c>
      <c r="N156" s="152">
        <f t="shared" si="57"/>
        <v>0</v>
      </c>
      <c r="O156" s="152">
        <f t="shared" si="57"/>
        <v>0</v>
      </c>
      <c r="P156" s="152">
        <f t="shared" si="57"/>
        <v>0</v>
      </c>
    </row>
    <row r="157" spans="2:16" x14ac:dyDescent="0.2">
      <c r="B157" s="88"/>
      <c r="K157" s="23"/>
    </row>
    <row r="158" spans="2:16" x14ac:dyDescent="0.2">
      <c r="B158" s="88"/>
      <c r="C158" s="47"/>
      <c r="D158" s="47"/>
      <c r="E158" s="71"/>
      <c r="F158" s="71"/>
      <c r="G158" s="71"/>
      <c r="H158" s="71"/>
      <c r="I158" s="71"/>
      <c r="J158" s="71"/>
      <c r="K158" s="23"/>
    </row>
    <row r="159" spans="2:16" x14ac:dyDescent="0.2">
      <c r="B159" s="88"/>
      <c r="C159" s="123" t="s">
        <v>177</v>
      </c>
      <c r="D159" s="146" t="s">
        <v>291</v>
      </c>
      <c r="E159" s="145" t="str">
        <f>E141</f>
        <v>Inicial</v>
      </c>
      <c r="F159" s="155" t="s">
        <v>326</v>
      </c>
      <c r="G159" s="155" t="s">
        <v>327</v>
      </c>
      <c r="H159" s="155" t="s">
        <v>328</v>
      </c>
      <c r="I159" s="155" t="s">
        <v>329</v>
      </c>
      <c r="J159" s="121" t="s">
        <v>393</v>
      </c>
      <c r="K159" s="145" t="str">
        <f>K141</f>
        <v>Inicial</v>
      </c>
      <c r="L159" s="155" t="s">
        <v>326</v>
      </c>
      <c r="M159" s="155" t="s">
        <v>327</v>
      </c>
      <c r="N159" s="155" t="s">
        <v>328</v>
      </c>
      <c r="O159" s="155" t="s">
        <v>329</v>
      </c>
      <c r="P159" s="155" t="s">
        <v>393</v>
      </c>
    </row>
    <row r="160" spans="2:16" ht="14.25" x14ac:dyDescent="0.2">
      <c r="B160" s="194">
        <v>5</v>
      </c>
      <c r="C160" s="246" t="s">
        <v>464</v>
      </c>
      <c r="D160" s="247">
        <v>25000</v>
      </c>
      <c r="E160" s="248">
        <v>1</v>
      </c>
      <c r="F160" s="249"/>
      <c r="G160" s="250"/>
      <c r="H160" s="250"/>
      <c r="I160" s="250"/>
      <c r="J160" s="251"/>
      <c r="K160" s="105">
        <f t="shared" ref="K160:K167" si="58">+$D160*E160*H$7</f>
        <v>25000</v>
      </c>
      <c r="L160" s="95">
        <f t="shared" ref="L160:P167" si="59">+$D160*F160*K$7</f>
        <v>0</v>
      </c>
      <c r="M160" s="95">
        <f t="shared" si="59"/>
        <v>0</v>
      </c>
      <c r="N160" s="95">
        <f t="shared" si="59"/>
        <v>0</v>
      </c>
      <c r="O160" s="95">
        <f t="shared" si="59"/>
        <v>0</v>
      </c>
      <c r="P160" s="96">
        <f t="shared" si="59"/>
        <v>0</v>
      </c>
    </row>
    <row r="161" spans="2:16" ht="28.5" x14ac:dyDescent="0.2">
      <c r="B161" s="194">
        <v>5</v>
      </c>
      <c r="C161" s="740" t="s">
        <v>465</v>
      </c>
      <c r="D161" s="247">
        <v>109000</v>
      </c>
      <c r="E161" s="252">
        <v>1</v>
      </c>
      <c r="F161" s="253"/>
      <c r="G161" s="254"/>
      <c r="H161" s="254"/>
      <c r="I161" s="254"/>
      <c r="J161" s="255"/>
      <c r="K161" s="106">
        <f t="shared" si="58"/>
        <v>109000</v>
      </c>
      <c r="L161" s="98">
        <f t="shared" si="59"/>
        <v>0</v>
      </c>
      <c r="M161" s="98">
        <f t="shared" si="59"/>
        <v>0</v>
      </c>
      <c r="N161" s="98">
        <f t="shared" si="59"/>
        <v>0</v>
      </c>
      <c r="O161" s="98">
        <f t="shared" si="59"/>
        <v>0</v>
      </c>
      <c r="P161" s="99">
        <f t="shared" si="59"/>
        <v>0</v>
      </c>
    </row>
    <row r="162" spans="2:16" x14ac:dyDescent="0.2">
      <c r="B162" s="194">
        <v>5</v>
      </c>
      <c r="C162" s="256" t="s">
        <v>466</v>
      </c>
      <c r="D162" s="257">
        <v>110000</v>
      </c>
      <c r="E162" s="252">
        <v>1</v>
      </c>
      <c r="F162" s="253"/>
      <c r="G162" s="254"/>
      <c r="H162" s="254"/>
      <c r="I162" s="254"/>
      <c r="J162" s="255"/>
      <c r="K162" s="106">
        <f t="shared" si="58"/>
        <v>110000</v>
      </c>
      <c r="L162" s="98">
        <f t="shared" si="59"/>
        <v>0</v>
      </c>
      <c r="M162" s="98">
        <f t="shared" si="59"/>
        <v>0</v>
      </c>
      <c r="N162" s="98">
        <f t="shared" si="59"/>
        <v>0</v>
      </c>
      <c r="O162" s="98">
        <f t="shared" si="59"/>
        <v>0</v>
      </c>
      <c r="P162" s="99">
        <f t="shared" si="59"/>
        <v>0</v>
      </c>
    </row>
    <row r="163" spans="2:16" x14ac:dyDescent="0.2">
      <c r="B163" s="194">
        <v>5</v>
      </c>
      <c r="C163" s="258" t="s">
        <v>467</v>
      </c>
      <c r="D163" s="259">
        <v>10000</v>
      </c>
      <c r="E163" s="260">
        <v>1</v>
      </c>
      <c r="F163" s="254"/>
      <c r="G163" s="254"/>
      <c r="H163" s="254"/>
      <c r="I163" s="254"/>
      <c r="J163" s="255"/>
      <c r="K163" s="106">
        <f t="shared" si="58"/>
        <v>10000</v>
      </c>
      <c r="L163" s="98">
        <f t="shared" si="59"/>
        <v>0</v>
      </c>
      <c r="M163" s="98">
        <f t="shared" si="59"/>
        <v>0</v>
      </c>
      <c r="N163" s="98">
        <f t="shared" si="59"/>
        <v>0</v>
      </c>
      <c r="O163" s="98">
        <f t="shared" si="59"/>
        <v>0</v>
      </c>
      <c r="P163" s="99">
        <f t="shared" si="59"/>
        <v>0</v>
      </c>
    </row>
    <row r="164" spans="2:16" x14ac:dyDescent="0.2">
      <c r="B164" s="194">
        <v>5</v>
      </c>
      <c r="C164" s="258" t="s">
        <v>468</v>
      </c>
      <c r="D164" s="259">
        <v>10000</v>
      </c>
      <c r="E164" s="260">
        <v>1</v>
      </c>
      <c r="F164" s="254"/>
      <c r="G164" s="254"/>
      <c r="H164" s="254"/>
      <c r="I164" s="254"/>
      <c r="J164" s="255"/>
      <c r="K164" s="106">
        <f t="shared" si="58"/>
        <v>10000</v>
      </c>
      <c r="L164" s="98">
        <f t="shared" si="59"/>
        <v>0</v>
      </c>
      <c r="M164" s="98">
        <f t="shared" si="59"/>
        <v>0</v>
      </c>
      <c r="N164" s="98">
        <f t="shared" si="59"/>
        <v>0</v>
      </c>
      <c r="O164" s="98">
        <f t="shared" si="59"/>
        <v>0</v>
      </c>
      <c r="P164" s="99">
        <f t="shared" si="59"/>
        <v>0</v>
      </c>
    </row>
    <row r="165" spans="2:16" x14ac:dyDescent="0.2">
      <c r="B165" s="194">
        <v>5</v>
      </c>
      <c r="C165" s="258" t="s">
        <v>469</v>
      </c>
      <c r="D165" s="259">
        <v>12500</v>
      </c>
      <c r="E165" s="260">
        <v>1</v>
      </c>
      <c r="F165" s="254"/>
      <c r="G165" s="254"/>
      <c r="H165" s="254"/>
      <c r="I165" s="254"/>
      <c r="J165" s="255"/>
      <c r="K165" s="106">
        <f t="shared" si="58"/>
        <v>12500</v>
      </c>
      <c r="L165" s="98">
        <f t="shared" si="59"/>
        <v>0</v>
      </c>
      <c r="M165" s="98">
        <f t="shared" si="59"/>
        <v>0</v>
      </c>
      <c r="N165" s="98">
        <f t="shared" si="59"/>
        <v>0</v>
      </c>
      <c r="O165" s="98">
        <f t="shared" si="59"/>
        <v>0</v>
      </c>
      <c r="P165" s="99">
        <f t="shared" si="59"/>
        <v>0</v>
      </c>
    </row>
    <row r="166" spans="2:16" x14ac:dyDescent="0.2">
      <c r="B166" s="194">
        <v>2</v>
      </c>
      <c r="C166" s="258"/>
      <c r="D166" s="259"/>
      <c r="E166" s="260"/>
      <c r="F166" s="254"/>
      <c r="G166" s="254"/>
      <c r="H166" s="254"/>
      <c r="I166" s="254"/>
      <c r="J166" s="255"/>
      <c r="K166" s="106">
        <f t="shared" si="58"/>
        <v>0</v>
      </c>
      <c r="L166" s="98">
        <f t="shared" si="59"/>
        <v>0</v>
      </c>
      <c r="M166" s="98">
        <f t="shared" si="59"/>
        <v>0</v>
      </c>
      <c r="N166" s="98">
        <f t="shared" si="59"/>
        <v>0</v>
      </c>
      <c r="O166" s="98">
        <f t="shared" si="59"/>
        <v>0</v>
      </c>
      <c r="P166" s="99">
        <f t="shared" si="59"/>
        <v>0</v>
      </c>
    </row>
    <row r="167" spans="2:16" x14ac:dyDescent="0.2">
      <c r="B167" s="194">
        <v>2</v>
      </c>
      <c r="C167" s="258"/>
      <c r="D167" s="259"/>
      <c r="E167" s="261"/>
      <c r="F167" s="262"/>
      <c r="G167" s="262"/>
      <c r="H167" s="262"/>
      <c r="I167" s="262"/>
      <c r="J167" s="263"/>
      <c r="K167" s="107">
        <f t="shared" si="58"/>
        <v>0</v>
      </c>
      <c r="L167" s="101">
        <f t="shared" si="59"/>
        <v>0</v>
      </c>
      <c r="M167" s="101">
        <f t="shared" si="59"/>
        <v>0</v>
      </c>
      <c r="N167" s="101">
        <f t="shared" si="59"/>
        <v>0</v>
      </c>
      <c r="O167" s="101">
        <f t="shared" si="59"/>
        <v>0</v>
      </c>
      <c r="P167" s="102">
        <f t="shared" si="59"/>
        <v>0</v>
      </c>
    </row>
    <row r="168" spans="2:16" x14ac:dyDescent="0.2">
      <c r="B168" s="88"/>
      <c r="C168" s="123" t="s">
        <v>178</v>
      </c>
      <c r="D168" s="152">
        <f>SUM(D160:D167)</f>
        <v>276500</v>
      </c>
      <c r="E168" s="152"/>
      <c r="F168" s="152"/>
      <c r="G168" s="152"/>
      <c r="H168" s="152"/>
      <c r="I168" s="152"/>
      <c r="J168" s="152"/>
      <c r="K168" s="152">
        <f t="shared" ref="K168:P168" si="60">SUM(K160:K167)</f>
        <v>276500</v>
      </c>
      <c r="L168" s="152">
        <f t="shared" si="60"/>
        <v>0</v>
      </c>
      <c r="M168" s="152">
        <f t="shared" si="60"/>
        <v>0</v>
      </c>
      <c r="N168" s="152">
        <f t="shared" si="60"/>
        <v>0</v>
      </c>
      <c r="O168" s="152">
        <f t="shared" si="60"/>
        <v>0</v>
      </c>
      <c r="P168" s="152">
        <f t="shared" si="60"/>
        <v>0</v>
      </c>
    </row>
    <row r="169" spans="2:16" x14ac:dyDescent="0.2">
      <c r="E169" s="51"/>
      <c r="F169" s="51"/>
    </row>
    <row r="170" spans="2:16" x14ac:dyDescent="0.2">
      <c r="E170" s="51"/>
      <c r="F170" s="51"/>
    </row>
    <row r="171" spans="2:16" x14ac:dyDescent="0.2">
      <c r="E171" s="51"/>
      <c r="F171" s="51"/>
    </row>
    <row r="172" spans="2:16" x14ac:dyDescent="0.2">
      <c r="C172" s="124" t="s">
        <v>113</v>
      </c>
      <c r="D172" s="124" t="str">
        <f>D159</f>
        <v>Valor unitario</v>
      </c>
      <c r="E172" s="154" t="str">
        <f>K159</f>
        <v>Inicial</v>
      </c>
      <c r="F172" s="155" t="s">
        <v>326</v>
      </c>
      <c r="G172" s="155" t="s">
        <v>327</v>
      </c>
      <c r="H172" s="155" t="s">
        <v>328</v>
      </c>
      <c r="I172" s="155" t="s">
        <v>329</v>
      </c>
      <c r="J172" s="155" t="s">
        <v>393</v>
      </c>
      <c r="L172" s="48"/>
      <c r="M172" s="47"/>
      <c r="N172" s="47"/>
      <c r="O172" s="47"/>
    </row>
    <row r="173" spans="2:16" x14ac:dyDescent="0.2">
      <c r="C173" s="113"/>
      <c r="D173" s="157">
        <f>SUM(E173:I173)</f>
        <v>107276500</v>
      </c>
      <c r="E173" s="157">
        <f t="shared" ref="E173:J173" si="61">E138+K156+K168</f>
        <v>107276500</v>
      </c>
      <c r="F173" s="157">
        <f t="shared" si="61"/>
        <v>0</v>
      </c>
      <c r="G173" s="157">
        <f t="shared" si="61"/>
        <v>0</v>
      </c>
      <c r="H173" s="157">
        <f t="shared" si="61"/>
        <v>0</v>
      </c>
      <c r="I173" s="157">
        <f t="shared" si="61"/>
        <v>0</v>
      </c>
      <c r="J173" s="157">
        <f t="shared" si="61"/>
        <v>0</v>
      </c>
      <c r="L173" s="52"/>
      <c r="M173" s="42"/>
      <c r="N173" s="42"/>
      <c r="O173" s="42"/>
    </row>
    <row r="174" spans="2:16" x14ac:dyDescent="0.2">
      <c r="C174" s="114"/>
      <c r="D174" s="114"/>
      <c r="E174" s="115"/>
      <c r="F174" s="53"/>
      <c r="G174" s="53"/>
      <c r="H174" s="53"/>
      <c r="I174" s="53"/>
      <c r="J174" s="53"/>
      <c r="K174" s="53"/>
      <c r="L174" s="48"/>
      <c r="M174" s="47"/>
      <c r="N174" s="47"/>
      <c r="O174" s="47"/>
    </row>
    <row r="175" spans="2:16" x14ac:dyDescent="0.2">
      <c r="C175" s="766" t="s">
        <v>114</v>
      </c>
      <c r="D175" s="766"/>
      <c r="E175" s="766"/>
      <c r="F175" s="53"/>
      <c r="G175" s="53"/>
      <c r="H175" s="53"/>
      <c r="I175" s="53"/>
      <c r="J175" s="53"/>
      <c r="K175" s="53"/>
      <c r="L175" s="48"/>
      <c r="M175" s="47"/>
      <c r="N175" s="47"/>
      <c r="O175" s="47"/>
    </row>
    <row r="176" spans="2:16" x14ac:dyDescent="0.2">
      <c r="C176" s="112"/>
      <c r="D176" s="112"/>
      <c r="E176" s="116"/>
      <c r="F176" s="53"/>
      <c r="G176" s="53"/>
      <c r="H176" s="53"/>
      <c r="I176" s="53"/>
      <c r="J176" s="53"/>
      <c r="K176" s="53"/>
      <c r="L176" s="48"/>
      <c r="M176" s="47"/>
      <c r="N176" s="47"/>
      <c r="O176" s="47"/>
    </row>
    <row r="177" spans="2:15" x14ac:dyDescent="0.2">
      <c r="C177" s="112" t="s">
        <v>115</v>
      </c>
      <c r="D177" s="112"/>
      <c r="E177" s="117">
        <f>E173</f>
        <v>107276500</v>
      </c>
      <c r="F177" s="54"/>
      <c r="G177" s="54"/>
      <c r="H177" s="54"/>
      <c r="I177" s="54"/>
      <c r="J177" s="54"/>
      <c r="K177" s="54"/>
      <c r="L177" s="45"/>
      <c r="M177" s="45"/>
      <c r="N177" s="45"/>
      <c r="O177" s="45"/>
    </row>
    <row r="178" spans="2:15" x14ac:dyDescent="0.2">
      <c r="C178" s="26" t="s">
        <v>85</v>
      </c>
      <c r="D178" s="26"/>
      <c r="E178" s="117">
        <f>'Capital de trabajo'!D38</f>
        <v>201753161.67544001</v>
      </c>
    </row>
    <row r="179" spans="2:15" x14ac:dyDescent="0.2">
      <c r="C179" s="26"/>
      <c r="D179" s="26"/>
      <c r="E179" s="118"/>
    </row>
    <row r="180" spans="2:15" x14ac:dyDescent="0.2">
      <c r="C180" s="123" t="s">
        <v>116</v>
      </c>
      <c r="D180" s="138"/>
      <c r="E180" s="158">
        <f>E177+E178</f>
        <v>309029661.67544001</v>
      </c>
      <c r="F180" s="51"/>
    </row>
    <row r="183" spans="2:15" x14ac:dyDescent="0.2">
      <c r="C183" s="39"/>
      <c r="D183" s="39"/>
      <c r="E183" s="91"/>
      <c r="F183" s="55"/>
      <c r="G183" s="55"/>
      <c r="H183" s="55"/>
      <c r="I183" s="55"/>
      <c r="J183" s="55"/>
      <c r="K183" s="55"/>
      <c r="L183" s="55"/>
    </row>
    <row r="184" spans="2:15" x14ac:dyDescent="0.2">
      <c r="G184" s="92"/>
      <c r="H184" s="92"/>
      <c r="I184" s="92"/>
      <c r="J184" s="92"/>
      <c r="K184" s="92"/>
    </row>
    <row r="185" spans="2:15" x14ac:dyDescent="0.2">
      <c r="B185" s="91"/>
      <c r="C185" s="39"/>
      <c r="E185" s="765" t="s">
        <v>296</v>
      </c>
      <c r="F185" s="765"/>
      <c r="G185" s="765"/>
      <c r="H185" s="765"/>
      <c r="I185" s="765"/>
      <c r="J185" s="162"/>
      <c r="K185" s="119"/>
    </row>
    <row r="186" spans="2:15" x14ac:dyDescent="0.2">
      <c r="B186" s="23"/>
      <c r="C186" s="120" t="s">
        <v>292</v>
      </c>
      <c r="D186" s="120" t="s">
        <v>295</v>
      </c>
      <c r="E186" s="121" t="s">
        <v>325</v>
      </c>
      <c r="F186" s="121" t="s">
        <v>326</v>
      </c>
      <c r="G186" s="121" t="s">
        <v>327</v>
      </c>
      <c r="H186" s="121" t="s">
        <v>328</v>
      </c>
      <c r="I186" s="121" t="s">
        <v>329</v>
      </c>
      <c r="J186" s="121" t="s">
        <v>393</v>
      </c>
    </row>
    <row r="187" spans="2:15" x14ac:dyDescent="0.2">
      <c r="B187" s="23"/>
      <c r="C187" s="91">
        <v>1</v>
      </c>
      <c r="D187" s="50"/>
      <c r="E187" s="122">
        <f t="shared" ref="E187:J193" si="62">+SUMIF($B$25:$B$123,$C187,K$25:K$123)</f>
        <v>0</v>
      </c>
      <c r="F187" s="122">
        <f t="shared" si="62"/>
        <v>0</v>
      </c>
      <c r="G187" s="122">
        <f t="shared" si="62"/>
        <v>0</v>
      </c>
      <c r="H187" s="122">
        <f t="shared" si="62"/>
        <v>0</v>
      </c>
      <c r="I187" s="122">
        <f t="shared" si="62"/>
        <v>0</v>
      </c>
      <c r="J187" s="122">
        <f t="shared" si="62"/>
        <v>0</v>
      </c>
    </row>
    <row r="188" spans="2:15" x14ac:dyDescent="0.2">
      <c r="B188" s="23"/>
      <c r="C188" s="91">
        <v>2</v>
      </c>
      <c r="D188" s="50"/>
      <c r="E188" s="122">
        <f t="shared" si="62"/>
        <v>0</v>
      </c>
      <c r="F188" s="122">
        <f t="shared" si="62"/>
        <v>0</v>
      </c>
      <c r="G188" s="122">
        <f t="shared" si="62"/>
        <v>0</v>
      </c>
      <c r="H188" s="122">
        <f t="shared" si="62"/>
        <v>0</v>
      </c>
      <c r="I188" s="122">
        <f t="shared" si="62"/>
        <v>0</v>
      </c>
      <c r="J188" s="122">
        <f t="shared" si="62"/>
        <v>0</v>
      </c>
    </row>
    <row r="189" spans="2:15" x14ac:dyDescent="0.2">
      <c r="B189" s="23"/>
      <c r="C189" s="91">
        <v>3</v>
      </c>
      <c r="D189" s="50"/>
      <c r="E189" s="122">
        <f t="shared" si="62"/>
        <v>0</v>
      </c>
      <c r="F189" s="122">
        <f t="shared" si="62"/>
        <v>0</v>
      </c>
      <c r="G189" s="122">
        <f t="shared" si="62"/>
        <v>0</v>
      </c>
      <c r="H189" s="122">
        <f t="shared" si="62"/>
        <v>0</v>
      </c>
      <c r="I189" s="122">
        <f t="shared" si="62"/>
        <v>0</v>
      </c>
      <c r="J189" s="122">
        <f t="shared" si="62"/>
        <v>0</v>
      </c>
    </row>
    <row r="190" spans="2:15" x14ac:dyDescent="0.2">
      <c r="B190" s="23"/>
      <c r="C190" s="91">
        <v>4</v>
      </c>
      <c r="D190" s="50"/>
      <c r="E190" s="122">
        <f t="shared" si="62"/>
        <v>0</v>
      </c>
      <c r="F190" s="122">
        <f t="shared" si="62"/>
        <v>0</v>
      </c>
      <c r="G190" s="122">
        <f t="shared" si="62"/>
        <v>0</v>
      </c>
      <c r="H190" s="122">
        <f t="shared" si="62"/>
        <v>0</v>
      </c>
      <c r="I190" s="122">
        <f t="shared" si="62"/>
        <v>0</v>
      </c>
      <c r="J190" s="122">
        <f t="shared" si="62"/>
        <v>0</v>
      </c>
    </row>
    <row r="191" spans="2:15" x14ac:dyDescent="0.2">
      <c r="B191" s="23"/>
      <c r="C191" s="91">
        <v>5</v>
      </c>
      <c r="D191" s="50"/>
      <c r="E191" s="122">
        <f t="shared" si="62"/>
        <v>107000000</v>
      </c>
      <c r="F191" s="122">
        <f t="shared" si="62"/>
        <v>0</v>
      </c>
      <c r="G191" s="122">
        <f t="shared" si="62"/>
        <v>0</v>
      </c>
      <c r="H191" s="122">
        <f t="shared" si="62"/>
        <v>0</v>
      </c>
      <c r="I191" s="122">
        <f t="shared" si="62"/>
        <v>0</v>
      </c>
      <c r="J191" s="122">
        <f t="shared" si="62"/>
        <v>0</v>
      </c>
    </row>
    <row r="192" spans="2:15" x14ac:dyDescent="0.2">
      <c r="B192" s="23"/>
      <c r="C192" s="91">
        <v>10</v>
      </c>
      <c r="D192" s="50"/>
      <c r="E192" s="122">
        <f t="shared" si="62"/>
        <v>0</v>
      </c>
      <c r="F192" s="122">
        <f t="shared" si="62"/>
        <v>0</v>
      </c>
      <c r="G192" s="122">
        <f t="shared" si="62"/>
        <v>0</v>
      </c>
      <c r="H192" s="122">
        <f t="shared" si="62"/>
        <v>0</v>
      </c>
      <c r="I192" s="122">
        <f t="shared" si="62"/>
        <v>0</v>
      </c>
      <c r="J192" s="122">
        <f t="shared" si="62"/>
        <v>0</v>
      </c>
    </row>
    <row r="193" spans="2:10" x14ac:dyDescent="0.2">
      <c r="B193" s="23"/>
      <c r="C193" s="91">
        <v>20</v>
      </c>
      <c r="D193" s="50"/>
      <c r="E193" s="122">
        <f t="shared" si="62"/>
        <v>0</v>
      </c>
      <c r="F193" s="122">
        <f t="shared" si="62"/>
        <v>0</v>
      </c>
      <c r="G193" s="122">
        <f t="shared" si="62"/>
        <v>0</v>
      </c>
      <c r="H193" s="122">
        <f t="shared" si="62"/>
        <v>0</v>
      </c>
      <c r="I193" s="122">
        <f t="shared" si="62"/>
        <v>0</v>
      </c>
      <c r="J193" s="122">
        <f t="shared" si="62"/>
        <v>0</v>
      </c>
    </row>
    <row r="194" spans="2:10" x14ac:dyDescent="0.2">
      <c r="B194" s="91"/>
      <c r="C194" s="39"/>
      <c r="D194" s="91" t="s">
        <v>0</v>
      </c>
      <c r="E194" s="122">
        <f t="shared" ref="E194:J194" si="63">SUM(E187:E193)</f>
        <v>107000000</v>
      </c>
      <c r="F194" s="122">
        <f t="shared" si="63"/>
        <v>0</v>
      </c>
      <c r="G194" s="122">
        <f t="shared" si="63"/>
        <v>0</v>
      </c>
      <c r="H194" s="122">
        <f t="shared" si="63"/>
        <v>0</v>
      </c>
      <c r="I194" s="122">
        <f t="shared" si="63"/>
        <v>0</v>
      </c>
      <c r="J194" s="122">
        <f t="shared" si="63"/>
        <v>0</v>
      </c>
    </row>
    <row r="195" spans="2:10" x14ac:dyDescent="0.2">
      <c r="B195" s="91"/>
      <c r="C195" s="39"/>
      <c r="D195" s="91"/>
      <c r="E195" s="91"/>
      <c r="F195" s="91"/>
      <c r="G195" s="91"/>
    </row>
    <row r="196" spans="2:10" x14ac:dyDescent="0.2">
      <c r="B196" s="91"/>
      <c r="C196" s="50">
        <f>+$C$187</f>
        <v>1</v>
      </c>
      <c r="D196" s="122">
        <v>2021</v>
      </c>
      <c r="E196" s="122">
        <f>+E187/C196</f>
        <v>0</v>
      </c>
      <c r="F196" s="122"/>
      <c r="G196" s="122"/>
      <c r="H196" s="122"/>
      <c r="I196" s="122"/>
      <c r="J196" s="122"/>
    </row>
    <row r="197" spans="2:10" x14ac:dyDescent="0.2">
      <c r="B197" s="91"/>
      <c r="C197" s="50">
        <f>+$C$187</f>
        <v>1</v>
      </c>
      <c r="D197" s="122">
        <v>2022</v>
      </c>
      <c r="E197" s="122"/>
      <c r="F197" s="122">
        <f>+F187/C197</f>
        <v>0</v>
      </c>
      <c r="G197" s="122"/>
      <c r="H197" s="122"/>
      <c r="I197" s="122"/>
      <c r="J197" s="122"/>
    </row>
    <row r="198" spans="2:10" x14ac:dyDescent="0.2">
      <c r="B198" s="91"/>
      <c r="C198" s="50">
        <f>+$C$187</f>
        <v>1</v>
      </c>
      <c r="D198" s="122">
        <v>2023</v>
      </c>
      <c r="E198" s="122"/>
      <c r="F198" s="122"/>
      <c r="G198" s="122">
        <f>+G187/C198</f>
        <v>0</v>
      </c>
      <c r="H198" s="122"/>
      <c r="I198" s="122"/>
      <c r="J198" s="122"/>
    </row>
    <row r="199" spans="2:10" x14ac:dyDescent="0.2">
      <c r="C199" s="50">
        <f>+$C$187</f>
        <v>1</v>
      </c>
      <c r="D199" s="122">
        <v>2024</v>
      </c>
      <c r="E199" s="122"/>
      <c r="F199" s="122"/>
      <c r="G199" s="122"/>
      <c r="H199" s="122">
        <f>+H187/C199</f>
        <v>0</v>
      </c>
      <c r="I199" s="122"/>
      <c r="J199" s="122"/>
    </row>
    <row r="200" spans="2:10" x14ac:dyDescent="0.2">
      <c r="C200" s="50">
        <f>+$C$187</f>
        <v>1</v>
      </c>
      <c r="D200" s="122">
        <v>2025</v>
      </c>
      <c r="E200" s="122"/>
      <c r="F200" s="122"/>
      <c r="G200" s="122"/>
      <c r="H200" s="122"/>
      <c r="I200" s="122">
        <f>+I187/C200</f>
        <v>0</v>
      </c>
      <c r="J200" s="122"/>
    </row>
    <row r="201" spans="2:10" x14ac:dyDescent="0.2">
      <c r="C201" s="50">
        <v>1</v>
      </c>
      <c r="D201" s="122">
        <v>2026</v>
      </c>
      <c r="E201" s="122"/>
      <c r="F201" s="122"/>
      <c r="G201" s="122"/>
      <c r="H201" s="122"/>
      <c r="I201" s="122"/>
      <c r="J201" s="122">
        <f>J187/C201</f>
        <v>0</v>
      </c>
    </row>
    <row r="202" spans="2:10" x14ac:dyDescent="0.2">
      <c r="C202" s="50"/>
      <c r="D202" s="122" t="s">
        <v>294</v>
      </c>
      <c r="E202" s="122">
        <f>SUM(E196:E201)</f>
        <v>0</v>
      </c>
      <c r="F202" s="122">
        <f t="shared" ref="F202:I202" si="64">SUM(F196:F201)</f>
        <v>0</v>
      </c>
      <c r="G202" s="122">
        <f t="shared" si="64"/>
        <v>0</v>
      </c>
      <c r="H202" s="122">
        <f t="shared" si="64"/>
        <v>0</v>
      </c>
      <c r="I202" s="122">
        <f t="shared" si="64"/>
        <v>0</v>
      </c>
      <c r="J202" s="122">
        <f>SUM(J196:J201)</f>
        <v>0</v>
      </c>
    </row>
    <row r="203" spans="2:10" x14ac:dyDescent="0.2">
      <c r="C203" s="50"/>
      <c r="D203" s="50"/>
      <c r="E203" s="51"/>
      <c r="F203" s="51"/>
      <c r="G203" s="51"/>
      <c r="H203" s="51"/>
      <c r="I203" s="51"/>
      <c r="J203" s="51"/>
    </row>
    <row r="204" spans="2:10" x14ac:dyDescent="0.2">
      <c r="C204" s="50">
        <f>+$C$188</f>
        <v>2</v>
      </c>
      <c r="D204" s="122">
        <v>2021</v>
      </c>
      <c r="E204" s="122">
        <f>+$E$188/$C$204</f>
        <v>0</v>
      </c>
      <c r="F204" s="122">
        <f>+$E$188/$C$204</f>
        <v>0</v>
      </c>
      <c r="G204" s="122"/>
      <c r="H204" s="122"/>
      <c r="I204" s="122"/>
      <c r="J204" s="122"/>
    </row>
    <row r="205" spans="2:10" x14ac:dyDescent="0.2">
      <c r="C205" s="50">
        <f>+$C$188</f>
        <v>2</v>
      </c>
      <c r="D205" s="122">
        <v>2022</v>
      </c>
      <c r="E205" s="122"/>
      <c r="F205" s="122">
        <f>+$F$188/$C$205</f>
        <v>0</v>
      </c>
      <c r="G205" s="122">
        <f>+$F$188/$C$205</f>
        <v>0</v>
      </c>
      <c r="H205" s="122"/>
      <c r="I205" s="122"/>
      <c r="J205" s="122"/>
    </row>
    <row r="206" spans="2:10" x14ac:dyDescent="0.2">
      <c r="C206" s="50">
        <f>+$C$188</f>
        <v>2</v>
      </c>
      <c r="D206" s="122">
        <v>2023</v>
      </c>
      <c r="E206" s="122"/>
      <c r="F206" s="122"/>
      <c r="G206" s="122">
        <f>+$G$188/$C$206</f>
        <v>0</v>
      </c>
      <c r="H206" s="122">
        <f>+$G$188/$C$206</f>
        <v>0</v>
      </c>
      <c r="I206" s="122"/>
      <c r="J206" s="122"/>
    </row>
    <row r="207" spans="2:10" x14ac:dyDescent="0.2">
      <c r="C207" s="50">
        <f>+$C$188</f>
        <v>2</v>
      </c>
      <c r="D207" s="122">
        <v>2024</v>
      </c>
      <c r="E207" s="122"/>
      <c r="F207" s="122"/>
      <c r="G207" s="122"/>
      <c r="H207" s="122">
        <f>+$H$188/$C$207</f>
        <v>0</v>
      </c>
      <c r="I207" s="122">
        <f>+$H$188/$C$207</f>
        <v>0</v>
      </c>
      <c r="J207" s="122"/>
    </row>
    <row r="208" spans="2:10" x14ac:dyDescent="0.2">
      <c r="C208" s="50">
        <f>+$C$188</f>
        <v>2</v>
      </c>
      <c r="D208" s="122">
        <v>2025</v>
      </c>
      <c r="E208" s="122"/>
      <c r="F208" s="122"/>
      <c r="G208" s="122"/>
      <c r="H208" s="122"/>
      <c r="I208" s="122">
        <f>+$I$188/$C$208</f>
        <v>0</v>
      </c>
      <c r="J208" s="122">
        <f>I188/C208</f>
        <v>0</v>
      </c>
    </row>
    <row r="209" spans="3:10" x14ac:dyDescent="0.2">
      <c r="C209" s="50">
        <v>2</v>
      </c>
      <c r="D209" s="122">
        <v>2026</v>
      </c>
      <c r="E209" s="122"/>
      <c r="F209" s="122"/>
      <c r="G209" s="122"/>
      <c r="H209" s="122"/>
      <c r="I209" s="122"/>
      <c r="J209" s="122">
        <f>J188/C209</f>
        <v>0</v>
      </c>
    </row>
    <row r="210" spans="3:10" x14ac:dyDescent="0.2">
      <c r="C210" s="50"/>
      <c r="D210" s="122" t="s">
        <v>294</v>
      </c>
      <c r="E210" s="122">
        <f t="shared" ref="E210:J210" si="65">SUM(E204:E209)</f>
        <v>0</v>
      </c>
      <c r="F210" s="122">
        <f t="shared" si="65"/>
        <v>0</v>
      </c>
      <c r="G210" s="122">
        <f t="shared" si="65"/>
        <v>0</v>
      </c>
      <c r="H210" s="122">
        <f t="shared" si="65"/>
        <v>0</v>
      </c>
      <c r="I210" s="122">
        <f t="shared" si="65"/>
        <v>0</v>
      </c>
      <c r="J210" s="122">
        <f t="shared" si="65"/>
        <v>0</v>
      </c>
    </row>
    <row r="211" spans="3:10" x14ac:dyDescent="0.2">
      <c r="C211" s="50"/>
      <c r="D211" s="50"/>
      <c r="E211" s="51"/>
      <c r="F211" s="51"/>
      <c r="G211" s="51"/>
      <c r="H211" s="51"/>
      <c r="I211" s="51"/>
      <c r="J211" s="51"/>
    </row>
    <row r="212" spans="3:10" x14ac:dyDescent="0.2">
      <c r="C212" s="50">
        <f>+$C$189</f>
        <v>3</v>
      </c>
      <c r="D212" s="122">
        <v>2021</v>
      </c>
      <c r="E212" s="122">
        <f>+$E$189/$C$212</f>
        <v>0</v>
      </c>
      <c r="F212" s="122">
        <f>+$E$189/$C$212</f>
        <v>0</v>
      </c>
      <c r="G212" s="122">
        <f>+$E$189/$C$212</f>
        <v>0</v>
      </c>
      <c r="H212" s="122"/>
      <c r="I212" s="122"/>
      <c r="J212" s="122"/>
    </row>
    <row r="213" spans="3:10" x14ac:dyDescent="0.2">
      <c r="C213" s="50">
        <f>+$C$189</f>
        <v>3</v>
      </c>
      <c r="D213" s="122">
        <v>2022</v>
      </c>
      <c r="E213" s="122"/>
      <c r="F213" s="122">
        <f>+$F$189/$C$213</f>
        <v>0</v>
      </c>
      <c r="G213" s="122">
        <f>+$F$189/$C$213</f>
        <v>0</v>
      </c>
      <c r="H213" s="122">
        <f>+$F$189/$C$213</f>
        <v>0</v>
      </c>
      <c r="I213" s="122"/>
      <c r="J213" s="122"/>
    </row>
    <row r="214" spans="3:10" x14ac:dyDescent="0.2">
      <c r="C214" s="50">
        <f>+$C$189</f>
        <v>3</v>
      </c>
      <c r="D214" s="122">
        <v>2023</v>
      </c>
      <c r="E214" s="122"/>
      <c r="F214" s="122"/>
      <c r="G214" s="122">
        <f>+$G$189/$C$214</f>
        <v>0</v>
      </c>
      <c r="H214" s="122">
        <f>+$G$189/$C$214</f>
        <v>0</v>
      </c>
      <c r="I214" s="122">
        <f>+$G$189/$C$214</f>
        <v>0</v>
      </c>
      <c r="J214" s="122"/>
    </row>
    <row r="215" spans="3:10" x14ac:dyDescent="0.2">
      <c r="C215" s="50">
        <f>+$C$189</f>
        <v>3</v>
      </c>
      <c r="D215" s="122">
        <v>2024</v>
      </c>
      <c r="E215" s="122"/>
      <c r="F215" s="122"/>
      <c r="G215" s="122"/>
      <c r="H215" s="122">
        <f>+$H$189/$C$215</f>
        <v>0</v>
      </c>
      <c r="I215" s="122">
        <f>+$H$189/$C$215</f>
        <v>0</v>
      </c>
      <c r="J215" s="122">
        <f>H189/C215</f>
        <v>0</v>
      </c>
    </row>
    <row r="216" spans="3:10" x14ac:dyDescent="0.2">
      <c r="C216" s="50">
        <f>+$C$189</f>
        <v>3</v>
      </c>
      <c r="D216" s="122">
        <v>2025</v>
      </c>
      <c r="E216" s="122"/>
      <c r="F216" s="122"/>
      <c r="G216" s="122"/>
      <c r="H216" s="122"/>
      <c r="I216" s="122">
        <f>+$I$189/$C$216</f>
        <v>0</v>
      </c>
      <c r="J216" s="122">
        <f>I189/C216</f>
        <v>0</v>
      </c>
    </row>
    <row r="217" spans="3:10" x14ac:dyDescent="0.2">
      <c r="C217" s="50">
        <v>3</v>
      </c>
      <c r="D217" s="122">
        <v>2026</v>
      </c>
      <c r="E217" s="122"/>
      <c r="F217" s="122"/>
      <c r="G217" s="122"/>
      <c r="H217" s="122"/>
      <c r="I217" s="122"/>
      <c r="J217" s="122">
        <f>J189/C217</f>
        <v>0</v>
      </c>
    </row>
    <row r="218" spans="3:10" x14ac:dyDescent="0.2">
      <c r="C218" s="50"/>
      <c r="D218" s="122" t="s">
        <v>294</v>
      </c>
      <c r="E218" s="122">
        <f t="shared" ref="E218:J218" si="66">SUM(E212:E217)</f>
        <v>0</v>
      </c>
      <c r="F218" s="122">
        <f t="shared" si="66"/>
        <v>0</v>
      </c>
      <c r="G218" s="122">
        <f t="shared" si="66"/>
        <v>0</v>
      </c>
      <c r="H218" s="122">
        <f t="shared" si="66"/>
        <v>0</v>
      </c>
      <c r="I218" s="122">
        <f t="shared" si="66"/>
        <v>0</v>
      </c>
      <c r="J218" s="122">
        <f t="shared" si="66"/>
        <v>0</v>
      </c>
    </row>
    <row r="219" spans="3:10" x14ac:dyDescent="0.2">
      <c r="C219" s="50"/>
      <c r="D219" s="50"/>
      <c r="E219" s="51"/>
      <c r="F219" s="51"/>
      <c r="G219" s="51"/>
      <c r="H219" s="51"/>
      <c r="I219" s="51"/>
      <c r="J219" s="51"/>
    </row>
    <row r="220" spans="3:10" x14ac:dyDescent="0.2">
      <c r="C220" s="50">
        <f>+$C$190</f>
        <v>4</v>
      </c>
      <c r="D220" s="122">
        <v>2021</v>
      </c>
      <c r="E220" s="122">
        <f>+$E$190/$C$220</f>
        <v>0</v>
      </c>
      <c r="F220" s="122">
        <f>+$E$190/$C$220</f>
        <v>0</v>
      </c>
      <c r="G220" s="122">
        <f>+$E$190/$C$220</f>
        <v>0</v>
      </c>
      <c r="H220" s="122">
        <f>+$E$190/$C$220</f>
        <v>0</v>
      </c>
      <c r="I220" s="122"/>
      <c r="J220" s="122"/>
    </row>
    <row r="221" spans="3:10" x14ac:dyDescent="0.2">
      <c r="C221" s="50">
        <f>+$C$190</f>
        <v>4</v>
      </c>
      <c r="D221" s="122">
        <v>2022</v>
      </c>
      <c r="E221" s="122"/>
      <c r="F221" s="122">
        <f>+$F$190/$C$221</f>
        <v>0</v>
      </c>
      <c r="G221" s="122">
        <f>+$F$190/$C$221</f>
        <v>0</v>
      </c>
      <c r="H221" s="122">
        <f>+$F$190/$C$221</f>
        <v>0</v>
      </c>
      <c r="I221" s="122">
        <f>+$F$190/$C$221</f>
        <v>0</v>
      </c>
      <c r="J221" s="122"/>
    </row>
    <row r="222" spans="3:10" x14ac:dyDescent="0.2">
      <c r="C222" s="50">
        <f>+$C$190</f>
        <v>4</v>
      </c>
      <c r="D222" s="122">
        <v>2023</v>
      </c>
      <c r="E222" s="122"/>
      <c r="F222" s="122"/>
      <c r="G222" s="122">
        <f>+$G$190/$D$222</f>
        <v>0</v>
      </c>
      <c r="H222" s="122">
        <f>+$G$190/$D$222</f>
        <v>0</v>
      </c>
      <c r="I222" s="122">
        <f>+$G$190/$D$222</f>
        <v>0</v>
      </c>
      <c r="J222" s="122">
        <f>G190/C222</f>
        <v>0</v>
      </c>
    </row>
    <row r="223" spans="3:10" x14ac:dyDescent="0.2">
      <c r="C223" s="50">
        <f>+$C$190</f>
        <v>4</v>
      </c>
      <c r="D223" s="122">
        <v>2024</v>
      </c>
      <c r="E223" s="122"/>
      <c r="F223" s="122"/>
      <c r="G223" s="122"/>
      <c r="H223" s="122">
        <f>+$H$190/$C$223</f>
        <v>0</v>
      </c>
      <c r="I223" s="122">
        <f>+$H$190/$C$223</f>
        <v>0</v>
      </c>
      <c r="J223" s="122">
        <f>+$H$190/$D$223</f>
        <v>0</v>
      </c>
    </row>
    <row r="224" spans="3:10" x14ac:dyDescent="0.2">
      <c r="C224" s="50">
        <f>+$C$190</f>
        <v>4</v>
      </c>
      <c r="D224" s="122">
        <v>2025</v>
      </c>
      <c r="E224" s="122"/>
      <c r="F224" s="122"/>
      <c r="G224" s="122"/>
      <c r="H224" s="122"/>
      <c r="I224" s="122">
        <f>+$I$190/$C$224</f>
        <v>0</v>
      </c>
      <c r="J224" s="122">
        <f>+$I$190/$C$224</f>
        <v>0</v>
      </c>
    </row>
    <row r="225" spans="3:10" x14ac:dyDescent="0.2">
      <c r="C225" s="50">
        <v>4</v>
      </c>
      <c r="D225" s="122">
        <v>2026</v>
      </c>
      <c r="E225" s="122"/>
      <c r="F225" s="122"/>
      <c r="G225" s="122"/>
      <c r="H225" s="122"/>
      <c r="I225" s="122"/>
      <c r="J225" s="122">
        <f>+$J$190/$C$225</f>
        <v>0</v>
      </c>
    </row>
    <row r="226" spans="3:10" x14ac:dyDescent="0.2">
      <c r="C226" s="50"/>
      <c r="D226" s="122" t="s">
        <v>294</v>
      </c>
      <c r="E226" s="122">
        <f t="shared" ref="E226:J226" si="67">SUM(E220:E225)</f>
        <v>0</v>
      </c>
      <c r="F226" s="122">
        <f t="shared" si="67"/>
        <v>0</v>
      </c>
      <c r="G226" s="122">
        <f t="shared" si="67"/>
        <v>0</v>
      </c>
      <c r="H226" s="122">
        <f t="shared" si="67"/>
        <v>0</v>
      </c>
      <c r="I226" s="122">
        <f t="shared" si="67"/>
        <v>0</v>
      </c>
      <c r="J226" s="122">
        <f t="shared" si="67"/>
        <v>0</v>
      </c>
    </row>
    <row r="227" spans="3:10" x14ac:dyDescent="0.2">
      <c r="C227" s="50"/>
      <c r="D227" s="50"/>
      <c r="E227" s="51"/>
      <c r="F227" s="51"/>
      <c r="G227" s="51"/>
      <c r="H227" s="51"/>
      <c r="I227" s="51"/>
      <c r="J227" s="51"/>
    </row>
    <row r="228" spans="3:10" x14ac:dyDescent="0.2">
      <c r="C228" s="50">
        <f>+$C$191</f>
        <v>5</v>
      </c>
      <c r="D228" s="122">
        <v>2021</v>
      </c>
      <c r="E228" s="122">
        <f>+$E$191/$C$228</f>
        <v>21400000</v>
      </c>
      <c r="F228" s="122">
        <f>+$E$191/$C$228</f>
        <v>21400000</v>
      </c>
      <c r="G228" s="122">
        <f>+$E$191/$C$228</f>
        <v>21400000</v>
      </c>
      <c r="H228" s="122">
        <f>+$E$191/$C$228</f>
        <v>21400000</v>
      </c>
      <c r="I228" s="122">
        <f>+$E$191/$C$228</f>
        <v>21400000</v>
      </c>
      <c r="J228" s="122"/>
    </row>
    <row r="229" spans="3:10" x14ac:dyDescent="0.2">
      <c r="C229" s="50">
        <f>+$C$191</f>
        <v>5</v>
      </c>
      <c r="D229" s="122">
        <v>2022</v>
      </c>
      <c r="E229" s="122"/>
      <c r="F229" s="122">
        <f>+$F$191/$C$229</f>
        <v>0</v>
      </c>
      <c r="G229" s="122">
        <f>+$F$191/$C$229</f>
        <v>0</v>
      </c>
      <c r="H229" s="122">
        <f>+$F$191/$C$229</f>
        <v>0</v>
      </c>
      <c r="I229" s="122">
        <f>+$F$191/$C$229</f>
        <v>0</v>
      </c>
      <c r="J229" s="122">
        <f>+$F$191/$C$229</f>
        <v>0</v>
      </c>
    </row>
    <row r="230" spans="3:10" x14ac:dyDescent="0.2">
      <c r="C230" s="50">
        <f>+$C$191</f>
        <v>5</v>
      </c>
      <c r="D230" s="122">
        <v>2023</v>
      </c>
      <c r="E230" s="122"/>
      <c r="F230" s="122"/>
      <c r="G230" s="122">
        <f>+$G$191/$C$230</f>
        <v>0</v>
      </c>
      <c r="H230" s="122">
        <f>+$G$191/$C$230</f>
        <v>0</v>
      </c>
      <c r="I230" s="122">
        <f>+$G$191/$C$230</f>
        <v>0</v>
      </c>
      <c r="J230" s="122">
        <f>+$G$191/$C$230</f>
        <v>0</v>
      </c>
    </row>
    <row r="231" spans="3:10" x14ac:dyDescent="0.2">
      <c r="C231" s="50">
        <f>+$C$191</f>
        <v>5</v>
      </c>
      <c r="D231" s="122">
        <v>2024</v>
      </c>
      <c r="E231" s="122"/>
      <c r="F231" s="122"/>
      <c r="G231" s="122"/>
      <c r="H231" s="122">
        <f>+$H$191/$C$231</f>
        <v>0</v>
      </c>
      <c r="I231" s="122">
        <f>+$H$191/$C$231</f>
        <v>0</v>
      </c>
      <c r="J231" s="122">
        <f>+$H$191/$C$231</f>
        <v>0</v>
      </c>
    </row>
    <row r="232" spans="3:10" x14ac:dyDescent="0.2">
      <c r="C232" s="50">
        <f>+$C$191</f>
        <v>5</v>
      </c>
      <c r="D232" s="122">
        <v>2025</v>
      </c>
      <c r="E232" s="122"/>
      <c r="F232" s="122"/>
      <c r="G232" s="122"/>
      <c r="H232" s="122"/>
      <c r="I232" s="122">
        <f>+$I$191/$C$232</f>
        <v>0</v>
      </c>
      <c r="J232" s="122">
        <f>+$I$191/$C$232</f>
        <v>0</v>
      </c>
    </row>
    <row r="233" spans="3:10" x14ac:dyDescent="0.2">
      <c r="C233" s="50">
        <v>5</v>
      </c>
      <c r="D233" s="122">
        <v>2026</v>
      </c>
      <c r="E233" s="122"/>
      <c r="F233" s="122"/>
      <c r="G233" s="122"/>
      <c r="H233" s="122"/>
      <c r="I233" s="122"/>
      <c r="J233" s="122">
        <f>+$J$191/$C$233</f>
        <v>0</v>
      </c>
    </row>
    <row r="234" spans="3:10" x14ac:dyDescent="0.2">
      <c r="C234" s="50">
        <v>5</v>
      </c>
      <c r="D234" s="122" t="s">
        <v>294</v>
      </c>
      <c r="E234" s="122">
        <f t="shared" ref="E234:J234" si="68">SUM(E228:E233)</f>
        <v>21400000</v>
      </c>
      <c r="F234" s="122">
        <f t="shared" si="68"/>
        <v>21400000</v>
      </c>
      <c r="G234" s="122">
        <f t="shared" si="68"/>
        <v>21400000</v>
      </c>
      <c r="H234" s="122">
        <f t="shared" si="68"/>
        <v>21400000</v>
      </c>
      <c r="I234" s="122">
        <f t="shared" si="68"/>
        <v>21400000</v>
      </c>
      <c r="J234" s="122">
        <f t="shared" si="68"/>
        <v>0</v>
      </c>
    </row>
    <row r="235" spans="3:10" x14ac:dyDescent="0.2">
      <c r="C235" s="50"/>
      <c r="D235" s="50"/>
      <c r="E235" s="51"/>
      <c r="F235" s="51"/>
      <c r="G235" s="51"/>
      <c r="H235" s="51"/>
      <c r="I235" s="51"/>
      <c r="J235" s="51"/>
    </row>
    <row r="236" spans="3:10" x14ac:dyDescent="0.2">
      <c r="C236" s="50">
        <f>+$C$192</f>
        <v>10</v>
      </c>
      <c r="D236" s="122">
        <v>2021</v>
      </c>
      <c r="E236" s="122">
        <f t="shared" ref="E236:J236" si="69">+$E$192/$C$236</f>
        <v>0</v>
      </c>
      <c r="F236" s="122">
        <f t="shared" si="69"/>
        <v>0</v>
      </c>
      <c r="G236" s="122">
        <f t="shared" si="69"/>
        <v>0</v>
      </c>
      <c r="H236" s="122">
        <f t="shared" si="69"/>
        <v>0</v>
      </c>
      <c r="I236" s="122">
        <f t="shared" si="69"/>
        <v>0</v>
      </c>
      <c r="J236" s="122">
        <f t="shared" si="69"/>
        <v>0</v>
      </c>
    </row>
    <row r="237" spans="3:10" x14ac:dyDescent="0.2">
      <c r="C237" s="50">
        <f>+$C$192</f>
        <v>10</v>
      </c>
      <c r="D237" s="122">
        <v>2022</v>
      </c>
      <c r="E237" s="122"/>
      <c r="F237" s="122">
        <f>+$F$192/$C$237</f>
        <v>0</v>
      </c>
      <c r="G237" s="122">
        <f>+$F$192/$C$237</f>
        <v>0</v>
      </c>
      <c r="H237" s="122">
        <f>+$F$192/$C$237</f>
        <v>0</v>
      </c>
      <c r="I237" s="122">
        <f>+$F$192/$C$237</f>
        <v>0</v>
      </c>
      <c r="J237" s="122">
        <f>+$F$192/$C$237</f>
        <v>0</v>
      </c>
    </row>
    <row r="238" spans="3:10" x14ac:dyDescent="0.2">
      <c r="C238" s="50">
        <f>+$C$192</f>
        <v>10</v>
      </c>
      <c r="D238" s="122">
        <v>2023</v>
      </c>
      <c r="E238" s="122"/>
      <c r="F238" s="122"/>
      <c r="G238" s="122">
        <f>+$G$192/$C$238</f>
        <v>0</v>
      </c>
      <c r="H238" s="122">
        <f>+$G$192/$C$238</f>
        <v>0</v>
      </c>
      <c r="I238" s="122">
        <f>+$G$192/$C$238</f>
        <v>0</v>
      </c>
      <c r="J238" s="122">
        <f>+$G$192/$C$238</f>
        <v>0</v>
      </c>
    </row>
    <row r="239" spans="3:10" x14ac:dyDescent="0.2">
      <c r="C239" s="50">
        <f>+$C$192</f>
        <v>10</v>
      </c>
      <c r="D239" s="122">
        <v>2024</v>
      </c>
      <c r="E239" s="122"/>
      <c r="F239" s="122"/>
      <c r="G239" s="122"/>
      <c r="H239" s="122">
        <f>+$H$192/$C$239</f>
        <v>0</v>
      </c>
      <c r="I239" s="122">
        <f>+$H$192/$C$239</f>
        <v>0</v>
      </c>
      <c r="J239" s="122">
        <f>+$H$192/$C$239</f>
        <v>0</v>
      </c>
    </row>
    <row r="240" spans="3:10" x14ac:dyDescent="0.2">
      <c r="C240" s="50">
        <f>+$C$192</f>
        <v>10</v>
      </c>
      <c r="D240" s="122">
        <v>2025</v>
      </c>
      <c r="E240" s="122"/>
      <c r="F240" s="122"/>
      <c r="G240" s="122"/>
      <c r="H240" s="122"/>
      <c r="I240" s="122">
        <f>+$I$192/$C$240</f>
        <v>0</v>
      </c>
      <c r="J240" s="122">
        <f>+$I$192/$C$240</f>
        <v>0</v>
      </c>
    </row>
    <row r="241" spans="3:10" x14ac:dyDescent="0.2">
      <c r="C241" s="50">
        <v>10</v>
      </c>
      <c r="D241" s="122">
        <v>2026</v>
      </c>
      <c r="E241" s="122"/>
      <c r="F241" s="122"/>
      <c r="G241" s="122"/>
      <c r="H241" s="122"/>
      <c r="I241" s="122"/>
      <c r="J241" s="122">
        <f>+$J$192/$C$241</f>
        <v>0</v>
      </c>
    </row>
    <row r="242" spans="3:10" x14ac:dyDescent="0.2">
      <c r="C242" s="50"/>
      <c r="D242" s="122" t="s">
        <v>294</v>
      </c>
      <c r="E242" s="122">
        <f t="shared" ref="E242:J242" si="70">SUM(E236:E241)</f>
        <v>0</v>
      </c>
      <c r="F242" s="122">
        <f t="shared" si="70"/>
        <v>0</v>
      </c>
      <c r="G242" s="122">
        <f t="shared" si="70"/>
        <v>0</v>
      </c>
      <c r="H242" s="122">
        <f t="shared" si="70"/>
        <v>0</v>
      </c>
      <c r="I242" s="122">
        <f t="shared" si="70"/>
        <v>0</v>
      </c>
      <c r="J242" s="122">
        <f t="shared" si="70"/>
        <v>0</v>
      </c>
    </row>
    <row r="243" spans="3:10" x14ac:dyDescent="0.2">
      <c r="C243" s="50"/>
      <c r="D243" s="50"/>
      <c r="E243" s="51"/>
      <c r="F243" s="51"/>
      <c r="G243" s="51"/>
      <c r="H243" s="51"/>
      <c r="I243" s="51"/>
      <c r="J243" s="51"/>
    </row>
    <row r="244" spans="3:10" x14ac:dyDescent="0.2">
      <c r="C244" s="50">
        <f>+$C$193</f>
        <v>20</v>
      </c>
      <c r="D244" s="122">
        <v>2021</v>
      </c>
      <c r="E244" s="122">
        <f t="shared" ref="E244:J244" si="71">+$E$193/$C$244</f>
        <v>0</v>
      </c>
      <c r="F244" s="122">
        <f t="shared" si="71"/>
        <v>0</v>
      </c>
      <c r="G244" s="122">
        <f t="shared" si="71"/>
        <v>0</v>
      </c>
      <c r="H244" s="122">
        <f t="shared" si="71"/>
        <v>0</v>
      </c>
      <c r="I244" s="122">
        <f t="shared" si="71"/>
        <v>0</v>
      </c>
      <c r="J244" s="122">
        <f t="shared" si="71"/>
        <v>0</v>
      </c>
    </row>
    <row r="245" spans="3:10" x14ac:dyDescent="0.2">
      <c r="C245" s="50">
        <f>+$C$193</f>
        <v>20</v>
      </c>
      <c r="D245" s="122">
        <v>2022</v>
      </c>
      <c r="E245" s="122"/>
      <c r="F245" s="122">
        <f>+$F$193/$C$245</f>
        <v>0</v>
      </c>
      <c r="G245" s="122">
        <f>+$F$193/$C$245</f>
        <v>0</v>
      </c>
      <c r="H245" s="122">
        <f>+$F$193/$C$245</f>
        <v>0</v>
      </c>
      <c r="I245" s="122">
        <f>+$F$193/$C$245</f>
        <v>0</v>
      </c>
      <c r="J245" s="122">
        <f>+$F$193/$C$245</f>
        <v>0</v>
      </c>
    </row>
    <row r="246" spans="3:10" x14ac:dyDescent="0.2">
      <c r="C246" s="50">
        <f>+$C$193</f>
        <v>20</v>
      </c>
      <c r="D246" s="122">
        <v>2023</v>
      </c>
      <c r="E246" s="122"/>
      <c r="F246" s="122"/>
      <c r="G246" s="122">
        <f>+$G$193/$C$246</f>
        <v>0</v>
      </c>
      <c r="H246" s="122">
        <f>+$G$193/$C$246</f>
        <v>0</v>
      </c>
      <c r="I246" s="122">
        <f>+$G$193/$C$246</f>
        <v>0</v>
      </c>
      <c r="J246" s="122">
        <f>+$G$193/$C$246</f>
        <v>0</v>
      </c>
    </row>
    <row r="247" spans="3:10" x14ac:dyDescent="0.2">
      <c r="C247" s="50">
        <f>+$C$193</f>
        <v>20</v>
      </c>
      <c r="D247" s="122">
        <v>2024</v>
      </c>
      <c r="E247" s="122"/>
      <c r="F247" s="122"/>
      <c r="G247" s="122"/>
      <c r="H247" s="122">
        <f>+$H$193/$C$247</f>
        <v>0</v>
      </c>
      <c r="I247" s="122">
        <f>+$H$193/$C$247</f>
        <v>0</v>
      </c>
      <c r="J247" s="122">
        <f>+$H$193/$C$247</f>
        <v>0</v>
      </c>
    </row>
    <row r="248" spans="3:10" x14ac:dyDescent="0.2">
      <c r="C248" s="50">
        <f>+$C$193</f>
        <v>20</v>
      </c>
      <c r="D248" s="122">
        <v>2025</v>
      </c>
      <c r="E248" s="122"/>
      <c r="F248" s="122"/>
      <c r="G248" s="122"/>
      <c r="H248" s="122"/>
      <c r="I248" s="122">
        <f>+$I$193/$C$248</f>
        <v>0</v>
      </c>
      <c r="J248" s="122">
        <f>+$I$193/$C$248</f>
        <v>0</v>
      </c>
    </row>
    <row r="249" spans="3:10" x14ac:dyDescent="0.2">
      <c r="C249" s="50">
        <v>20</v>
      </c>
      <c r="D249" s="122">
        <v>2026</v>
      </c>
      <c r="E249" s="122"/>
      <c r="F249" s="122"/>
      <c r="G249" s="122"/>
      <c r="H249" s="122"/>
      <c r="I249" s="122"/>
      <c r="J249" s="122">
        <f>+$J$193/$C$249</f>
        <v>0</v>
      </c>
    </row>
    <row r="250" spans="3:10" x14ac:dyDescent="0.2">
      <c r="C250" s="50"/>
      <c r="D250" s="122" t="s">
        <v>294</v>
      </c>
      <c r="E250" s="122">
        <f t="shared" ref="E250:J250" si="72">SUM(E244:E249)</f>
        <v>0</v>
      </c>
      <c r="F250" s="122">
        <f t="shared" si="72"/>
        <v>0</v>
      </c>
      <c r="G250" s="122">
        <f t="shared" si="72"/>
        <v>0</v>
      </c>
      <c r="H250" s="122">
        <f t="shared" si="72"/>
        <v>0</v>
      </c>
      <c r="I250" s="122">
        <f t="shared" si="72"/>
        <v>0</v>
      </c>
      <c r="J250" s="122">
        <f t="shared" si="72"/>
        <v>0</v>
      </c>
    </row>
    <row r="251" spans="3:10" x14ac:dyDescent="0.2">
      <c r="D251" s="50"/>
    </row>
    <row r="252" spans="3:10" x14ac:dyDescent="0.2">
      <c r="C252" s="123" t="s">
        <v>293</v>
      </c>
      <c r="D252" s="124"/>
      <c r="E252" s="125">
        <f t="shared" ref="E252:J252" si="73">+E250+E242+E234+E226+E218+E210+E202</f>
        <v>21400000</v>
      </c>
      <c r="F252" s="125">
        <f t="shared" si="73"/>
        <v>21400000</v>
      </c>
      <c r="G252" s="125">
        <f t="shared" si="73"/>
        <v>21400000</v>
      </c>
      <c r="H252" s="125">
        <f t="shared" si="73"/>
        <v>21400000</v>
      </c>
      <c r="I252" s="125">
        <f t="shared" si="73"/>
        <v>21400000</v>
      </c>
      <c r="J252" s="125">
        <f t="shared" si="73"/>
        <v>0</v>
      </c>
    </row>
    <row r="253" spans="3:10" x14ac:dyDescent="0.2">
      <c r="C253" s="123" t="s">
        <v>117</v>
      </c>
      <c r="D253" s="124"/>
      <c r="E253" s="125">
        <f>+E252</f>
        <v>21400000</v>
      </c>
      <c r="F253" s="125">
        <f>+F252+E253</f>
        <v>42800000</v>
      </c>
      <c r="G253" s="125">
        <f>+G252+F253</f>
        <v>64200000</v>
      </c>
      <c r="H253" s="125">
        <f>+H252+G253</f>
        <v>85600000</v>
      </c>
      <c r="I253" s="125">
        <f>+I252+H253</f>
        <v>107000000</v>
      </c>
      <c r="J253" s="125">
        <f>+J252+I253</f>
        <v>107000000</v>
      </c>
    </row>
    <row r="254" spans="3:10" x14ac:dyDescent="0.2">
      <c r="D254" s="50"/>
      <c r="E254" s="126"/>
      <c r="F254" s="126"/>
      <c r="G254" s="126"/>
      <c r="H254" s="126"/>
      <c r="I254" s="126"/>
      <c r="J254" s="126"/>
    </row>
    <row r="255" spans="3:10" x14ac:dyDescent="0.2">
      <c r="D255" s="50"/>
      <c r="E255" s="762" t="s">
        <v>299</v>
      </c>
      <c r="F255" s="763"/>
      <c r="G255" s="763"/>
      <c r="H255" s="763"/>
      <c r="I255" s="764"/>
      <c r="J255" s="161"/>
    </row>
    <row r="256" spans="3:10" x14ac:dyDescent="0.2">
      <c r="C256" s="127" t="s">
        <v>292</v>
      </c>
      <c r="D256" s="127" t="s">
        <v>295</v>
      </c>
      <c r="E256" s="121" t="s">
        <v>325</v>
      </c>
      <c r="F256" s="121" t="s">
        <v>326</v>
      </c>
      <c r="G256" s="121" t="s">
        <v>327</v>
      </c>
      <c r="H256" s="121" t="s">
        <v>328</v>
      </c>
      <c r="I256" s="121" t="s">
        <v>329</v>
      </c>
      <c r="J256" s="121" t="s">
        <v>393</v>
      </c>
    </row>
    <row r="257" spans="3:10" x14ac:dyDescent="0.2">
      <c r="C257" s="91">
        <v>1</v>
      </c>
      <c r="D257" s="50"/>
      <c r="E257" s="122">
        <f t="shared" ref="E257:J263" si="74">+SUMIF($B$142:$B$155,$C257,K$142:K$155)</f>
        <v>0</v>
      </c>
      <c r="F257" s="122">
        <f t="shared" si="74"/>
        <v>0</v>
      </c>
      <c r="G257" s="122">
        <f t="shared" si="74"/>
        <v>0</v>
      </c>
      <c r="H257" s="122">
        <f t="shared" si="74"/>
        <v>0</v>
      </c>
      <c r="I257" s="122">
        <f t="shared" si="74"/>
        <v>0</v>
      </c>
      <c r="J257" s="122">
        <f t="shared" si="74"/>
        <v>0</v>
      </c>
    </row>
    <row r="258" spans="3:10" x14ac:dyDescent="0.2">
      <c r="C258" s="91">
        <v>2</v>
      </c>
      <c r="D258" s="50"/>
      <c r="E258" s="122">
        <f t="shared" si="74"/>
        <v>0</v>
      </c>
      <c r="F258" s="122">
        <f t="shared" si="74"/>
        <v>0</v>
      </c>
      <c r="G258" s="122">
        <f t="shared" si="74"/>
        <v>0</v>
      </c>
      <c r="H258" s="122">
        <f t="shared" si="74"/>
        <v>0</v>
      </c>
      <c r="I258" s="122">
        <f t="shared" si="74"/>
        <v>0</v>
      </c>
      <c r="J258" s="122">
        <f t="shared" si="74"/>
        <v>0</v>
      </c>
    </row>
    <row r="259" spans="3:10" x14ac:dyDescent="0.2">
      <c r="C259" s="91">
        <v>3</v>
      </c>
      <c r="D259" s="50"/>
      <c r="E259" s="122">
        <f t="shared" si="74"/>
        <v>0</v>
      </c>
      <c r="F259" s="122">
        <f t="shared" si="74"/>
        <v>0</v>
      </c>
      <c r="G259" s="122">
        <f t="shared" si="74"/>
        <v>0</v>
      </c>
      <c r="H259" s="122">
        <f t="shared" si="74"/>
        <v>0</v>
      </c>
      <c r="I259" s="122">
        <f t="shared" si="74"/>
        <v>0</v>
      </c>
      <c r="J259" s="122">
        <f t="shared" si="74"/>
        <v>0</v>
      </c>
    </row>
    <row r="260" spans="3:10" x14ac:dyDescent="0.2">
      <c r="C260" s="91">
        <v>4</v>
      </c>
      <c r="D260" s="50"/>
      <c r="E260" s="122">
        <f t="shared" si="74"/>
        <v>0</v>
      </c>
      <c r="F260" s="122">
        <f t="shared" si="74"/>
        <v>0</v>
      </c>
      <c r="G260" s="122">
        <f t="shared" si="74"/>
        <v>0</v>
      </c>
      <c r="H260" s="122">
        <f t="shared" si="74"/>
        <v>0</v>
      </c>
      <c r="I260" s="122">
        <f t="shared" si="74"/>
        <v>0</v>
      </c>
      <c r="J260" s="122">
        <f t="shared" si="74"/>
        <v>0</v>
      </c>
    </row>
    <row r="261" spans="3:10" x14ac:dyDescent="0.2">
      <c r="C261" s="91">
        <v>5</v>
      </c>
      <c r="D261" s="50"/>
      <c r="E261" s="122">
        <f t="shared" si="74"/>
        <v>0</v>
      </c>
      <c r="F261" s="122">
        <f t="shared" si="74"/>
        <v>0</v>
      </c>
      <c r="G261" s="122">
        <f t="shared" si="74"/>
        <v>0</v>
      </c>
      <c r="H261" s="122">
        <f t="shared" si="74"/>
        <v>0</v>
      </c>
      <c r="I261" s="122">
        <f t="shared" si="74"/>
        <v>0</v>
      </c>
      <c r="J261" s="122">
        <f t="shared" si="74"/>
        <v>0</v>
      </c>
    </row>
    <row r="262" spans="3:10" x14ac:dyDescent="0.2">
      <c r="C262" s="91">
        <v>6</v>
      </c>
      <c r="D262" s="50"/>
      <c r="E262" s="122">
        <f t="shared" si="74"/>
        <v>0</v>
      </c>
      <c r="F262" s="122">
        <f t="shared" si="74"/>
        <v>0</v>
      </c>
      <c r="G262" s="122">
        <f t="shared" si="74"/>
        <v>0</v>
      </c>
      <c r="H262" s="122">
        <f t="shared" si="74"/>
        <v>0</v>
      </c>
      <c r="I262" s="122">
        <f t="shared" si="74"/>
        <v>0</v>
      </c>
      <c r="J262" s="122">
        <f t="shared" si="74"/>
        <v>0</v>
      </c>
    </row>
    <row r="263" spans="3:10" x14ac:dyDescent="0.2">
      <c r="C263" s="39"/>
      <c r="D263" s="91" t="s">
        <v>0</v>
      </c>
      <c r="E263" s="122">
        <f t="shared" si="74"/>
        <v>0</v>
      </c>
      <c r="F263" s="122">
        <f t="shared" si="74"/>
        <v>0</v>
      </c>
      <c r="G263" s="122">
        <f t="shared" si="74"/>
        <v>0</v>
      </c>
      <c r="H263" s="122">
        <f t="shared" si="74"/>
        <v>0</v>
      </c>
      <c r="I263" s="122">
        <f t="shared" si="74"/>
        <v>0</v>
      </c>
      <c r="J263" s="122">
        <f t="shared" si="74"/>
        <v>0</v>
      </c>
    </row>
    <row r="264" spans="3:10" x14ac:dyDescent="0.2">
      <c r="D264" s="50"/>
    </row>
    <row r="265" spans="3:10" x14ac:dyDescent="0.2">
      <c r="D265" s="50"/>
    </row>
    <row r="266" spans="3:10" x14ac:dyDescent="0.2">
      <c r="D266" s="50"/>
    </row>
    <row r="267" spans="3:10" x14ac:dyDescent="0.2">
      <c r="C267" s="50">
        <f>+$C$187</f>
        <v>1</v>
      </c>
      <c r="D267" s="122">
        <v>2021</v>
      </c>
      <c r="E267" s="122">
        <f>+E257/C267</f>
        <v>0</v>
      </c>
      <c r="F267" s="122"/>
      <c r="G267" s="122"/>
      <c r="H267" s="122"/>
      <c r="I267" s="122"/>
      <c r="J267" s="122"/>
    </row>
    <row r="268" spans="3:10" x14ac:dyDescent="0.2">
      <c r="C268" s="50">
        <f>+$C$187</f>
        <v>1</v>
      </c>
      <c r="D268" s="122">
        <v>2022</v>
      </c>
      <c r="E268" s="122"/>
      <c r="F268" s="122">
        <f>+F257/C268</f>
        <v>0</v>
      </c>
      <c r="G268" s="122"/>
      <c r="H268" s="122"/>
      <c r="I268" s="122"/>
      <c r="J268" s="122"/>
    </row>
    <row r="269" spans="3:10" x14ac:dyDescent="0.2">
      <c r="C269" s="50">
        <f>+$C$187</f>
        <v>1</v>
      </c>
      <c r="D269" s="122">
        <v>2023</v>
      </c>
      <c r="E269" s="122"/>
      <c r="F269" s="122"/>
      <c r="G269" s="122">
        <f>+G257/C269</f>
        <v>0</v>
      </c>
      <c r="H269" s="122"/>
      <c r="I269" s="122"/>
      <c r="J269" s="122"/>
    </row>
    <row r="270" spans="3:10" x14ac:dyDescent="0.2">
      <c r="C270" s="50">
        <f>+$C$187</f>
        <v>1</v>
      </c>
      <c r="D270" s="122">
        <v>2024</v>
      </c>
      <c r="E270" s="122"/>
      <c r="F270" s="122"/>
      <c r="G270" s="122"/>
      <c r="H270" s="122">
        <f>+H257/C270</f>
        <v>0</v>
      </c>
      <c r="I270" s="122"/>
      <c r="J270" s="122"/>
    </row>
    <row r="271" spans="3:10" x14ac:dyDescent="0.2">
      <c r="C271" s="50">
        <f>+$C$187</f>
        <v>1</v>
      </c>
      <c r="D271" s="122">
        <v>2025</v>
      </c>
      <c r="E271" s="122"/>
      <c r="F271" s="122"/>
      <c r="G271" s="122"/>
      <c r="H271" s="122"/>
      <c r="I271" s="122">
        <f>+I257/C271</f>
        <v>0</v>
      </c>
      <c r="J271" s="122"/>
    </row>
    <row r="272" spans="3:10" x14ac:dyDescent="0.2">
      <c r="C272" s="50">
        <v>1</v>
      </c>
      <c r="D272" s="122">
        <v>2026</v>
      </c>
      <c r="E272" s="122"/>
      <c r="F272" s="122"/>
      <c r="G272" s="122"/>
      <c r="H272" s="122"/>
      <c r="I272" s="122"/>
      <c r="J272" s="122">
        <f>J257/C272</f>
        <v>0</v>
      </c>
    </row>
    <row r="273" spans="3:10" x14ac:dyDescent="0.2">
      <c r="C273" s="50"/>
      <c r="D273" s="118" t="s">
        <v>294</v>
      </c>
      <c r="E273" s="122">
        <f t="shared" ref="E273:J273" si="75">SUM(E267:E271)</f>
        <v>0</v>
      </c>
      <c r="F273" s="122">
        <f t="shared" si="75"/>
        <v>0</v>
      </c>
      <c r="G273" s="122">
        <f t="shared" si="75"/>
        <v>0</v>
      </c>
      <c r="H273" s="122">
        <f t="shared" si="75"/>
        <v>0</v>
      </c>
      <c r="I273" s="122">
        <f t="shared" si="75"/>
        <v>0</v>
      </c>
      <c r="J273" s="122">
        <f t="shared" si="75"/>
        <v>0</v>
      </c>
    </row>
    <row r="274" spans="3:10" x14ac:dyDescent="0.2">
      <c r="C274" s="50"/>
      <c r="D274" s="50"/>
      <c r="E274" s="51"/>
      <c r="F274" s="51"/>
      <c r="G274" s="51"/>
      <c r="H274" s="51"/>
      <c r="I274" s="51"/>
      <c r="J274" s="51"/>
    </row>
    <row r="275" spans="3:10" x14ac:dyDescent="0.2">
      <c r="C275" s="50">
        <f>+$C$188</f>
        <v>2</v>
      </c>
      <c r="D275" s="118">
        <v>2021</v>
      </c>
      <c r="E275" s="122">
        <f>+$E$258/$C$275</f>
        <v>0</v>
      </c>
      <c r="F275" s="122">
        <f>+$E$258/$C$275</f>
        <v>0</v>
      </c>
      <c r="G275" s="122"/>
      <c r="H275" s="122"/>
      <c r="I275" s="122"/>
      <c r="J275" s="122"/>
    </row>
    <row r="276" spans="3:10" x14ac:dyDescent="0.2">
      <c r="C276" s="50">
        <f>+$C$188</f>
        <v>2</v>
      </c>
      <c r="D276" s="118">
        <v>2022</v>
      </c>
      <c r="E276" s="122"/>
      <c r="F276" s="122">
        <f>+$F$258/2</f>
        <v>0</v>
      </c>
      <c r="G276" s="122">
        <f>+$F$258/2</f>
        <v>0</v>
      </c>
      <c r="H276" s="122"/>
      <c r="I276" s="122"/>
      <c r="J276" s="122"/>
    </row>
    <row r="277" spans="3:10" x14ac:dyDescent="0.2">
      <c r="C277" s="50">
        <f>+$C$188</f>
        <v>2</v>
      </c>
      <c r="D277" s="118">
        <v>2023</v>
      </c>
      <c r="E277" s="122"/>
      <c r="F277" s="122"/>
      <c r="G277" s="122">
        <f>+$G$258/$C$277</f>
        <v>0</v>
      </c>
      <c r="H277" s="122">
        <f>+$G$258/$C$277</f>
        <v>0</v>
      </c>
      <c r="I277" s="122"/>
      <c r="J277" s="122"/>
    </row>
    <row r="278" spans="3:10" x14ac:dyDescent="0.2">
      <c r="C278" s="50">
        <f>+$C$188</f>
        <v>2</v>
      </c>
      <c r="D278" s="118">
        <v>2024</v>
      </c>
      <c r="E278" s="122"/>
      <c r="F278" s="122"/>
      <c r="G278" s="122"/>
      <c r="H278" s="122">
        <f>+$H$258/$C$278</f>
        <v>0</v>
      </c>
      <c r="I278" s="122">
        <f>+$H$258/$C$278</f>
        <v>0</v>
      </c>
      <c r="J278" s="122"/>
    </row>
    <row r="279" spans="3:10" x14ac:dyDescent="0.2">
      <c r="C279" s="50">
        <f>+$C$188</f>
        <v>2</v>
      </c>
      <c r="D279" s="118">
        <v>2025</v>
      </c>
      <c r="E279" s="122"/>
      <c r="F279" s="122"/>
      <c r="G279" s="122"/>
      <c r="H279" s="122"/>
      <c r="I279" s="122">
        <f>+$I$258/$C$279</f>
        <v>0</v>
      </c>
      <c r="J279" s="122">
        <f>+$I$258/$C$279</f>
        <v>0</v>
      </c>
    </row>
    <row r="280" spans="3:10" x14ac:dyDescent="0.2">
      <c r="C280" s="50">
        <v>2</v>
      </c>
      <c r="D280" s="118">
        <v>2026</v>
      </c>
      <c r="E280" s="122"/>
      <c r="F280" s="122"/>
      <c r="G280" s="122"/>
      <c r="H280" s="122"/>
      <c r="I280" s="122"/>
      <c r="J280" s="122">
        <f>+$J$258/$C$280</f>
        <v>0</v>
      </c>
    </row>
    <row r="281" spans="3:10" x14ac:dyDescent="0.2">
      <c r="C281" s="50"/>
      <c r="D281" s="118" t="s">
        <v>294</v>
      </c>
      <c r="E281" s="122">
        <f t="shared" ref="E281:J281" si="76">SUM(E275:E279)</f>
        <v>0</v>
      </c>
      <c r="F281" s="122">
        <f t="shared" si="76"/>
        <v>0</v>
      </c>
      <c r="G281" s="122">
        <f t="shared" si="76"/>
        <v>0</v>
      </c>
      <c r="H281" s="122">
        <f t="shared" si="76"/>
        <v>0</v>
      </c>
      <c r="I281" s="122">
        <f t="shared" si="76"/>
        <v>0</v>
      </c>
      <c r="J281" s="122">
        <f t="shared" si="76"/>
        <v>0</v>
      </c>
    </row>
    <row r="282" spans="3:10" x14ac:dyDescent="0.2">
      <c r="C282" s="50"/>
      <c r="D282" s="91"/>
      <c r="E282" s="163"/>
      <c r="F282" s="163"/>
      <c r="G282" s="163"/>
      <c r="H282" s="163"/>
      <c r="I282" s="163"/>
      <c r="J282" s="163"/>
    </row>
    <row r="283" spans="3:10" x14ac:dyDescent="0.2">
      <c r="C283" s="50"/>
      <c r="D283" s="50"/>
      <c r="E283" s="51"/>
      <c r="F283" s="51"/>
      <c r="G283" s="51"/>
      <c r="H283" s="51"/>
      <c r="I283" s="51"/>
      <c r="J283" s="51"/>
    </row>
    <row r="284" spans="3:10" x14ac:dyDescent="0.2">
      <c r="C284" s="50">
        <f>+$C$189</f>
        <v>3</v>
      </c>
      <c r="D284" s="122">
        <v>2021</v>
      </c>
      <c r="E284" s="122">
        <f>+$E$259/$C$284</f>
        <v>0</v>
      </c>
      <c r="F284" s="122">
        <f>+$E$259/$C$284</f>
        <v>0</v>
      </c>
      <c r="G284" s="122">
        <f>+$E$259/$C$284</f>
        <v>0</v>
      </c>
      <c r="H284" s="122"/>
      <c r="I284" s="122"/>
      <c r="J284" s="122"/>
    </row>
    <row r="285" spans="3:10" x14ac:dyDescent="0.2">
      <c r="C285" s="50">
        <f>+$C$189</f>
        <v>3</v>
      </c>
      <c r="D285" s="122">
        <v>2022</v>
      </c>
      <c r="E285" s="122"/>
      <c r="F285" s="122">
        <f>+$F$259/$C$285</f>
        <v>0</v>
      </c>
      <c r="G285" s="122">
        <f>+$F$259/$C$285</f>
        <v>0</v>
      </c>
      <c r="H285" s="122">
        <f>+$F$259/$C$285</f>
        <v>0</v>
      </c>
      <c r="I285" s="122"/>
      <c r="J285" s="122"/>
    </row>
    <row r="286" spans="3:10" x14ac:dyDescent="0.2">
      <c r="C286" s="50">
        <f>+$C$189</f>
        <v>3</v>
      </c>
      <c r="D286" s="122">
        <v>2023</v>
      </c>
      <c r="E286" s="122"/>
      <c r="F286" s="122"/>
      <c r="G286" s="122">
        <f>+$G$259/$C$286</f>
        <v>0</v>
      </c>
      <c r="H286" s="122">
        <f>+$G$259/$C$286</f>
        <v>0</v>
      </c>
      <c r="I286" s="122">
        <f>+$G$259/$C$286</f>
        <v>0</v>
      </c>
      <c r="J286" s="122"/>
    </row>
    <row r="287" spans="3:10" x14ac:dyDescent="0.2">
      <c r="C287" s="50">
        <f>+$C$189</f>
        <v>3</v>
      </c>
      <c r="D287" s="122">
        <v>2024</v>
      </c>
      <c r="E287" s="122"/>
      <c r="F287" s="122"/>
      <c r="G287" s="122"/>
      <c r="H287" s="122">
        <f>+$H$259/$C$287</f>
        <v>0</v>
      </c>
      <c r="I287" s="122">
        <f>+$H$259/$C$287</f>
        <v>0</v>
      </c>
      <c r="J287" s="122">
        <f>+$H$259/$C$287</f>
        <v>0</v>
      </c>
    </row>
    <row r="288" spans="3:10" x14ac:dyDescent="0.2">
      <c r="C288" s="50">
        <f>+$C$189</f>
        <v>3</v>
      </c>
      <c r="D288" s="122">
        <v>2025</v>
      </c>
      <c r="E288" s="122"/>
      <c r="F288" s="122"/>
      <c r="G288" s="122"/>
      <c r="H288" s="122"/>
      <c r="I288" s="122">
        <f>+$I$259/$C$288</f>
        <v>0</v>
      </c>
      <c r="J288" s="122">
        <f>+$I$259/$C$288</f>
        <v>0</v>
      </c>
    </row>
    <row r="289" spans="3:10" x14ac:dyDescent="0.2">
      <c r="C289" s="50">
        <v>3</v>
      </c>
      <c r="D289" s="122">
        <v>2026</v>
      </c>
      <c r="E289" s="122"/>
      <c r="F289" s="122"/>
      <c r="G289" s="122"/>
      <c r="H289" s="122"/>
      <c r="I289" s="122"/>
      <c r="J289" s="122">
        <f>+$J$259/$C$289</f>
        <v>0</v>
      </c>
    </row>
    <row r="290" spans="3:10" x14ac:dyDescent="0.2">
      <c r="C290" s="50"/>
      <c r="D290" s="118" t="s">
        <v>294</v>
      </c>
      <c r="E290" s="122">
        <f t="shared" ref="E290:J290" si="77">SUM(E284:E288)</f>
        <v>0</v>
      </c>
      <c r="F290" s="122">
        <f t="shared" si="77"/>
        <v>0</v>
      </c>
      <c r="G290" s="122">
        <f t="shared" si="77"/>
        <v>0</v>
      </c>
      <c r="H290" s="122">
        <f t="shared" si="77"/>
        <v>0</v>
      </c>
      <c r="I290" s="122">
        <f t="shared" si="77"/>
        <v>0</v>
      </c>
      <c r="J290" s="122">
        <f t="shared" si="77"/>
        <v>0</v>
      </c>
    </row>
    <row r="291" spans="3:10" x14ac:dyDescent="0.2">
      <c r="C291" s="50"/>
      <c r="D291" s="50"/>
      <c r="E291" s="51"/>
      <c r="F291" s="51"/>
      <c r="G291" s="51"/>
      <c r="H291" s="51"/>
      <c r="I291" s="51"/>
      <c r="J291" s="51"/>
    </row>
    <row r="292" spans="3:10" x14ac:dyDescent="0.2">
      <c r="C292" s="50">
        <f>+$C$190</f>
        <v>4</v>
      </c>
      <c r="D292" s="122">
        <v>2021</v>
      </c>
      <c r="E292" s="122">
        <f>+$E$260/$C$292</f>
        <v>0</v>
      </c>
      <c r="F292" s="122">
        <f>+$E$260/$C$292</f>
        <v>0</v>
      </c>
      <c r="G292" s="122">
        <f>+$E$260/$C$292</f>
        <v>0</v>
      </c>
      <c r="H292" s="122">
        <f>+$E$260/$C$292</f>
        <v>0</v>
      </c>
      <c r="I292" s="122"/>
      <c r="J292" s="122"/>
    </row>
    <row r="293" spans="3:10" x14ac:dyDescent="0.2">
      <c r="C293" s="50">
        <f>+$C$190</f>
        <v>4</v>
      </c>
      <c r="D293" s="122">
        <v>2022</v>
      </c>
      <c r="E293" s="122"/>
      <c r="F293" s="122">
        <f>+$F$260/$C$293</f>
        <v>0</v>
      </c>
      <c r="G293" s="122">
        <f>+$F$260/$C$293</f>
        <v>0</v>
      </c>
      <c r="H293" s="122">
        <f>+$F$260/$C$293</f>
        <v>0</v>
      </c>
      <c r="I293" s="122">
        <f>+$F$260/$C$293</f>
        <v>0</v>
      </c>
      <c r="J293" s="122"/>
    </row>
    <row r="294" spans="3:10" x14ac:dyDescent="0.2">
      <c r="C294" s="50">
        <f>+$C$190</f>
        <v>4</v>
      </c>
      <c r="D294" s="122">
        <v>2023</v>
      </c>
      <c r="E294" s="122"/>
      <c r="F294" s="122"/>
      <c r="G294" s="122">
        <f>+$G$260/$C$294</f>
        <v>0</v>
      </c>
      <c r="H294" s="122">
        <f>+$G$260/$C$294</f>
        <v>0</v>
      </c>
      <c r="I294" s="122">
        <f>+$G$260/$C$294</f>
        <v>0</v>
      </c>
      <c r="J294" s="122">
        <f>+$G$260/$C$294</f>
        <v>0</v>
      </c>
    </row>
    <row r="295" spans="3:10" x14ac:dyDescent="0.2">
      <c r="C295" s="50">
        <f>+$C$190</f>
        <v>4</v>
      </c>
      <c r="D295" s="122">
        <v>2024</v>
      </c>
      <c r="E295" s="122"/>
      <c r="F295" s="122"/>
      <c r="G295" s="122"/>
      <c r="H295" s="122">
        <f>+$H$260/$C$295</f>
        <v>0</v>
      </c>
      <c r="I295" s="122">
        <f>+$H$260/$C$295</f>
        <v>0</v>
      </c>
      <c r="J295" s="122">
        <f>+$H$260/$C$294</f>
        <v>0</v>
      </c>
    </row>
    <row r="296" spans="3:10" x14ac:dyDescent="0.2">
      <c r="C296" s="50">
        <f>+$C$190</f>
        <v>4</v>
      </c>
      <c r="D296" s="122">
        <v>2025</v>
      </c>
      <c r="E296" s="122"/>
      <c r="F296" s="122"/>
      <c r="G296" s="122"/>
      <c r="H296" s="122"/>
      <c r="I296" s="122">
        <f>+$I$260/$C$296</f>
        <v>0</v>
      </c>
      <c r="J296" s="122">
        <f>+$I$260/$C$294</f>
        <v>0</v>
      </c>
    </row>
    <row r="297" spans="3:10" x14ac:dyDescent="0.2">
      <c r="C297" s="50">
        <v>4</v>
      </c>
      <c r="D297" s="122">
        <v>2026</v>
      </c>
      <c r="E297" s="122"/>
      <c r="F297" s="122"/>
      <c r="G297" s="122"/>
      <c r="H297" s="122"/>
      <c r="I297" s="122"/>
      <c r="J297" s="122">
        <f>+$J$260/$C$294</f>
        <v>0</v>
      </c>
    </row>
    <row r="298" spans="3:10" x14ac:dyDescent="0.2">
      <c r="C298" s="50"/>
      <c r="D298" s="118" t="s">
        <v>294</v>
      </c>
      <c r="E298" s="122">
        <f t="shared" ref="E298:J298" si="78">SUM(E292:E296)</f>
        <v>0</v>
      </c>
      <c r="F298" s="122">
        <f t="shared" si="78"/>
        <v>0</v>
      </c>
      <c r="G298" s="122">
        <f t="shared" si="78"/>
        <v>0</v>
      </c>
      <c r="H298" s="122">
        <f t="shared" si="78"/>
        <v>0</v>
      </c>
      <c r="I298" s="122">
        <f t="shared" si="78"/>
        <v>0</v>
      </c>
      <c r="J298" s="122">
        <f t="shared" si="78"/>
        <v>0</v>
      </c>
    </row>
    <row r="299" spans="3:10" x14ac:dyDescent="0.2">
      <c r="C299" s="50"/>
      <c r="D299" s="50"/>
      <c r="E299" s="51"/>
      <c r="F299" s="51"/>
      <c r="G299" s="51"/>
      <c r="H299" s="51"/>
      <c r="I299" s="51"/>
      <c r="J299" s="51"/>
    </row>
    <row r="300" spans="3:10" x14ac:dyDescent="0.2">
      <c r="C300" s="50">
        <f>+$C$191</f>
        <v>5</v>
      </c>
      <c r="D300" s="122">
        <v>2021</v>
      </c>
      <c r="E300" s="122">
        <f>+$E$261/$C$300</f>
        <v>0</v>
      </c>
      <c r="F300" s="122">
        <f>+$E$261/$C$300</f>
        <v>0</v>
      </c>
      <c r="G300" s="122">
        <f>+$E$261/$C$300</f>
        <v>0</v>
      </c>
      <c r="H300" s="122">
        <f>+$E$261/$C$300</f>
        <v>0</v>
      </c>
      <c r="I300" s="122">
        <f>+$E$261/$C$300</f>
        <v>0</v>
      </c>
      <c r="J300" s="122"/>
    </row>
    <row r="301" spans="3:10" x14ac:dyDescent="0.2">
      <c r="C301" s="50">
        <f>+$C$191</f>
        <v>5</v>
      </c>
      <c r="D301" s="122">
        <v>2022</v>
      </c>
      <c r="E301" s="122"/>
      <c r="F301" s="122">
        <f>+$F$261/$C$301</f>
        <v>0</v>
      </c>
      <c r="G301" s="122">
        <f>+$F$261/$C$301</f>
        <v>0</v>
      </c>
      <c r="H301" s="122">
        <f>+$F$261/$C$301</f>
        <v>0</v>
      </c>
      <c r="I301" s="122">
        <f>+$F$261/$C$301</f>
        <v>0</v>
      </c>
      <c r="J301" s="122">
        <f>+$F$261/$C$300</f>
        <v>0</v>
      </c>
    </row>
    <row r="302" spans="3:10" x14ac:dyDescent="0.2">
      <c r="C302" s="50">
        <f>+$C$191</f>
        <v>5</v>
      </c>
      <c r="D302" s="122">
        <v>2023</v>
      </c>
      <c r="E302" s="122"/>
      <c r="F302" s="122"/>
      <c r="G302" s="122">
        <f>+$G$261/$C$302</f>
        <v>0</v>
      </c>
      <c r="H302" s="122">
        <f>+$G$261/$C$302</f>
        <v>0</v>
      </c>
      <c r="I302" s="122">
        <f>+$G$261/$C$302</f>
        <v>0</v>
      </c>
      <c r="J302" s="122">
        <f>+$G$261/$C$301</f>
        <v>0</v>
      </c>
    </row>
    <row r="303" spans="3:10" x14ac:dyDescent="0.2">
      <c r="C303" s="50">
        <f>+$C$191</f>
        <v>5</v>
      </c>
      <c r="D303" s="122">
        <v>2024</v>
      </c>
      <c r="E303" s="122"/>
      <c r="F303" s="122"/>
      <c r="G303" s="122"/>
      <c r="H303" s="122">
        <f>+$H$261/$C$303</f>
        <v>0</v>
      </c>
      <c r="I303" s="122">
        <f>+$H$261/$C$303</f>
        <v>0</v>
      </c>
      <c r="J303" s="122">
        <f>+$H$261/$C$302</f>
        <v>0</v>
      </c>
    </row>
    <row r="304" spans="3:10" x14ac:dyDescent="0.2">
      <c r="C304" s="50">
        <f>+$C$191</f>
        <v>5</v>
      </c>
      <c r="D304" s="122">
        <v>2025</v>
      </c>
      <c r="E304" s="122"/>
      <c r="F304" s="122"/>
      <c r="G304" s="122"/>
      <c r="H304" s="122"/>
      <c r="I304" s="122">
        <f>+$I$261/$C$304</f>
        <v>0</v>
      </c>
      <c r="J304" s="122">
        <f>+$I$261/$C$303</f>
        <v>0</v>
      </c>
    </row>
    <row r="305" spans="3:10" x14ac:dyDescent="0.2">
      <c r="C305" s="50">
        <v>5</v>
      </c>
      <c r="D305" s="122">
        <v>2026</v>
      </c>
      <c r="E305" s="122"/>
      <c r="F305" s="122"/>
      <c r="G305" s="122"/>
      <c r="H305" s="122"/>
      <c r="I305" s="122"/>
      <c r="J305" s="122">
        <f>+$J$261/$C$304</f>
        <v>0</v>
      </c>
    </row>
    <row r="306" spans="3:10" x14ac:dyDescent="0.2">
      <c r="C306" s="50"/>
      <c r="D306" s="118" t="s">
        <v>294</v>
      </c>
      <c r="E306" s="122">
        <f t="shared" ref="E306:J306" si="79">SUM(E300:E304)</f>
        <v>0</v>
      </c>
      <c r="F306" s="122">
        <f t="shared" si="79"/>
        <v>0</v>
      </c>
      <c r="G306" s="122">
        <f t="shared" si="79"/>
        <v>0</v>
      </c>
      <c r="H306" s="122">
        <f t="shared" si="79"/>
        <v>0</v>
      </c>
      <c r="I306" s="122">
        <f t="shared" si="79"/>
        <v>0</v>
      </c>
      <c r="J306" s="122">
        <f t="shared" si="79"/>
        <v>0</v>
      </c>
    </row>
    <row r="307" spans="3:10" x14ac:dyDescent="0.2">
      <c r="D307" s="50"/>
    </row>
    <row r="308" spans="3:10" x14ac:dyDescent="0.2">
      <c r="C308" s="50">
        <v>6</v>
      </c>
      <c r="D308" s="122">
        <v>2021</v>
      </c>
      <c r="E308" s="122">
        <f t="shared" ref="E308:J308" si="80">+$E$262/$C$308</f>
        <v>0</v>
      </c>
      <c r="F308" s="122">
        <f t="shared" si="80"/>
        <v>0</v>
      </c>
      <c r="G308" s="122">
        <f t="shared" si="80"/>
        <v>0</v>
      </c>
      <c r="H308" s="122">
        <f t="shared" si="80"/>
        <v>0</v>
      </c>
      <c r="I308" s="122">
        <f t="shared" si="80"/>
        <v>0</v>
      </c>
      <c r="J308" s="122">
        <f t="shared" si="80"/>
        <v>0</v>
      </c>
    </row>
    <row r="309" spans="3:10" x14ac:dyDescent="0.2">
      <c r="C309" s="50">
        <v>6</v>
      </c>
      <c r="D309" s="122">
        <v>2022</v>
      </c>
      <c r="E309" s="122"/>
      <c r="F309" s="122">
        <f>+$F$262/$C$310</f>
        <v>0</v>
      </c>
      <c r="G309" s="122">
        <f>+$F$262/$C$309</f>
        <v>0</v>
      </c>
      <c r="H309" s="122">
        <f>+$F$262/$C$309</f>
        <v>0</v>
      </c>
      <c r="I309" s="122">
        <f>+$F$262/$C$309</f>
        <v>0</v>
      </c>
      <c r="J309" s="122">
        <f>+$F$262/$C$309</f>
        <v>0</v>
      </c>
    </row>
    <row r="310" spans="3:10" x14ac:dyDescent="0.2">
      <c r="C310" s="50">
        <v>6</v>
      </c>
      <c r="D310" s="122">
        <v>2023</v>
      </c>
      <c r="E310" s="122"/>
      <c r="F310" s="122"/>
      <c r="G310" s="122">
        <f>+$G$262/$C$310</f>
        <v>0</v>
      </c>
      <c r="H310" s="122">
        <f>+$G$262/$C$310</f>
        <v>0</v>
      </c>
      <c r="I310" s="122">
        <f>+$G$262/$C$310</f>
        <v>0</v>
      </c>
      <c r="J310" s="122">
        <f>+$G$262/$C$310</f>
        <v>0</v>
      </c>
    </row>
    <row r="311" spans="3:10" x14ac:dyDescent="0.2">
      <c r="C311" s="50">
        <v>6</v>
      </c>
      <c r="D311" s="122">
        <v>2024</v>
      </c>
      <c r="E311" s="122"/>
      <c r="F311" s="122"/>
      <c r="G311" s="122"/>
      <c r="H311" s="122">
        <f>+$H$262/$C$311</f>
        <v>0</v>
      </c>
      <c r="I311" s="122">
        <f>+$H$262/$C$311</f>
        <v>0</v>
      </c>
      <c r="J311" s="122">
        <f>+$H$262/$C$311</f>
        <v>0</v>
      </c>
    </row>
    <row r="312" spans="3:10" x14ac:dyDescent="0.2">
      <c r="C312" s="50">
        <v>6</v>
      </c>
      <c r="D312" s="122">
        <v>2025</v>
      </c>
      <c r="E312" s="122"/>
      <c r="F312" s="122"/>
      <c r="G312" s="122"/>
      <c r="H312" s="122"/>
      <c r="I312" s="122">
        <f>+$I$262/$C$312</f>
        <v>0</v>
      </c>
      <c r="J312" s="122">
        <f>+$I$262/$C$312</f>
        <v>0</v>
      </c>
    </row>
    <row r="313" spans="3:10" x14ac:dyDescent="0.2">
      <c r="C313" s="50">
        <v>6</v>
      </c>
      <c r="D313" s="122">
        <v>2026</v>
      </c>
      <c r="E313" s="122"/>
      <c r="F313" s="122"/>
      <c r="G313" s="122"/>
      <c r="H313" s="122"/>
      <c r="I313" s="122"/>
      <c r="J313" s="122">
        <f>+$J$262/$C$313</f>
        <v>0</v>
      </c>
    </row>
    <row r="314" spans="3:10" x14ac:dyDescent="0.2">
      <c r="C314" s="50"/>
      <c r="D314" s="118" t="s">
        <v>294</v>
      </c>
      <c r="E314" s="122">
        <f t="shared" ref="E314:J314" si="81">SUM(E308:E313)</f>
        <v>0</v>
      </c>
      <c r="F314" s="122">
        <f t="shared" si="81"/>
        <v>0</v>
      </c>
      <c r="G314" s="122">
        <f t="shared" si="81"/>
        <v>0</v>
      </c>
      <c r="H314" s="122">
        <f t="shared" si="81"/>
        <v>0</v>
      </c>
      <c r="I314" s="122">
        <f t="shared" si="81"/>
        <v>0</v>
      </c>
      <c r="J314" s="122">
        <f t="shared" si="81"/>
        <v>0</v>
      </c>
    </row>
    <row r="315" spans="3:10" x14ac:dyDescent="0.2">
      <c r="D315" s="50"/>
    </row>
    <row r="316" spans="3:10" x14ac:dyDescent="0.2">
      <c r="C316" s="123" t="s">
        <v>297</v>
      </c>
      <c r="D316" s="124"/>
      <c r="E316" s="125">
        <f t="shared" ref="E316:J316" si="82">+E306+E298+E290+E281+E273+E314</f>
        <v>0</v>
      </c>
      <c r="F316" s="125">
        <f t="shared" si="82"/>
        <v>0</v>
      </c>
      <c r="G316" s="125">
        <f t="shared" si="82"/>
        <v>0</v>
      </c>
      <c r="H316" s="125">
        <f t="shared" si="82"/>
        <v>0</v>
      </c>
      <c r="I316" s="125">
        <f t="shared" si="82"/>
        <v>0</v>
      </c>
      <c r="J316" s="125">
        <f t="shared" si="82"/>
        <v>0</v>
      </c>
    </row>
    <row r="317" spans="3:10" x14ac:dyDescent="0.2">
      <c r="C317" s="123" t="s">
        <v>298</v>
      </c>
      <c r="D317" s="124"/>
      <c r="E317" s="125">
        <f>+E316</f>
        <v>0</v>
      </c>
      <c r="F317" s="125">
        <f>+F316+E317</f>
        <v>0</v>
      </c>
      <c r="G317" s="125">
        <f>+G316+F317</f>
        <v>0</v>
      </c>
      <c r="H317" s="125">
        <f>+H316+G317</f>
        <v>0</v>
      </c>
      <c r="I317" s="125">
        <f>+I316+H317</f>
        <v>0</v>
      </c>
      <c r="J317" s="125">
        <f>+J316+I317</f>
        <v>0</v>
      </c>
    </row>
    <row r="318" spans="3:10" x14ac:dyDescent="0.2">
      <c r="D318" s="50"/>
      <c r="E318" s="126"/>
      <c r="F318" s="126"/>
      <c r="G318" s="126"/>
      <c r="H318" s="126"/>
      <c r="I318" s="126"/>
      <c r="J318" s="126"/>
    </row>
    <row r="319" spans="3:10" x14ac:dyDescent="0.2">
      <c r="D319" s="50"/>
      <c r="E319" s="760" t="s">
        <v>300</v>
      </c>
      <c r="F319" s="760"/>
      <c r="G319" s="760"/>
      <c r="H319" s="760"/>
      <c r="I319" s="760"/>
      <c r="J319" s="161"/>
    </row>
    <row r="320" spans="3:10" x14ac:dyDescent="0.2">
      <c r="C320" s="120" t="s">
        <v>292</v>
      </c>
      <c r="D320" s="120" t="s">
        <v>295</v>
      </c>
      <c r="E320" s="121" t="s">
        <v>325</v>
      </c>
      <c r="F320" s="121" t="s">
        <v>326</v>
      </c>
      <c r="G320" s="121" t="s">
        <v>327</v>
      </c>
      <c r="H320" s="121" t="s">
        <v>328</v>
      </c>
      <c r="I320" s="121" t="s">
        <v>329</v>
      </c>
      <c r="J320" s="121" t="s">
        <v>393</v>
      </c>
    </row>
    <row r="321" spans="3:10" x14ac:dyDescent="0.2">
      <c r="C321" s="91">
        <v>1</v>
      </c>
      <c r="D321" s="50"/>
      <c r="E321" s="122">
        <f t="shared" ref="E321:E327" si="83">+SUMIF($B$160:$B$167,$C321,K$160:K$167)</f>
        <v>0</v>
      </c>
      <c r="F321" s="122">
        <f t="shared" ref="F321:J327" si="84">+SUMIF($B$160:$B$167,$C321,L$160:L$167)</f>
        <v>0</v>
      </c>
      <c r="G321" s="122">
        <f t="shared" si="84"/>
        <v>0</v>
      </c>
      <c r="H321" s="122">
        <f t="shared" si="84"/>
        <v>0</v>
      </c>
      <c r="I321" s="122">
        <f t="shared" si="84"/>
        <v>0</v>
      </c>
      <c r="J321" s="122">
        <f t="shared" si="84"/>
        <v>0</v>
      </c>
    </row>
    <row r="322" spans="3:10" x14ac:dyDescent="0.2">
      <c r="C322" s="91">
        <v>2</v>
      </c>
      <c r="D322" s="50"/>
      <c r="E322" s="122">
        <f t="shared" si="83"/>
        <v>0</v>
      </c>
      <c r="F322" s="122">
        <f t="shared" si="84"/>
        <v>0</v>
      </c>
      <c r="G322" s="122">
        <f t="shared" si="84"/>
        <v>0</v>
      </c>
      <c r="H322" s="122">
        <f t="shared" si="84"/>
        <v>0</v>
      </c>
      <c r="I322" s="122">
        <f t="shared" si="84"/>
        <v>0</v>
      </c>
      <c r="J322" s="122">
        <f t="shared" si="84"/>
        <v>0</v>
      </c>
    </row>
    <row r="323" spans="3:10" x14ac:dyDescent="0.2">
      <c r="C323" s="91">
        <v>3</v>
      </c>
      <c r="D323" s="50"/>
      <c r="E323" s="122">
        <f t="shared" si="83"/>
        <v>0</v>
      </c>
      <c r="F323" s="122">
        <f t="shared" si="84"/>
        <v>0</v>
      </c>
      <c r="G323" s="122">
        <f t="shared" si="84"/>
        <v>0</v>
      </c>
      <c r="H323" s="122">
        <f t="shared" si="84"/>
        <v>0</v>
      </c>
      <c r="I323" s="122">
        <f t="shared" si="84"/>
        <v>0</v>
      </c>
      <c r="J323" s="122">
        <f t="shared" si="84"/>
        <v>0</v>
      </c>
    </row>
    <row r="324" spans="3:10" x14ac:dyDescent="0.2">
      <c r="C324" s="91">
        <v>4</v>
      </c>
      <c r="D324" s="50"/>
      <c r="E324" s="122">
        <f t="shared" si="83"/>
        <v>0</v>
      </c>
      <c r="F324" s="122">
        <f t="shared" si="84"/>
        <v>0</v>
      </c>
      <c r="G324" s="122">
        <f t="shared" si="84"/>
        <v>0</v>
      </c>
      <c r="H324" s="122">
        <f t="shared" si="84"/>
        <v>0</v>
      </c>
      <c r="I324" s="122">
        <f t="shared" si="84"/>
        <v>0</v>
      </c>
      <c r="J324" s="122">
        <f t="shared" si="84"/>
        <v>0</v>
      </c>
    </row>
    <row r="325" spans="3:10" x14ac:dyDescent="0.2">
      <c r="C325" s="91">
        <v>5</v>
      </c>
      <c r="D325" s="50"/>
      <c r="E325" s="122">
        <f t="shared" si="83"/>
        <v>276500</v>
      </c>
      <c r="F325" s="122">
        <f t="shared" si="84"/>
        <v>0</v>
      </c>
      <c r="G325" s="122">
        <f t="shared" si="84"/>
        <v>0</v>
      </c>
      <c r="H325" s="122">
        <f t="shared" si="84"/>
        <v>0</v>
      </c>
      <c r="I325" s="122">
        <f t="shared" si="84"/>
        <v>0</v>
      </c>
      <c r="J325" s="122">
        <f t="shared" si="84"/>
        <v>0</v>
      </c>
    </row>
    <row r="326" spans="3:10" x14ac:dyDescent="0.2">
      <c r="C326" s="91">
        <v>6</v>
      </c>
      <c r="D326" s="50"/>
      <c r="E326" s="122">
        <f>+SUMIF($B$160:$B$167,$C326,K$160:K$167)</f>
        <v>0</v>
      </c>
      <c r="F326" s="122">
        <f t="shared" si="84"/>
        <v>0</v>
      </c>
      <c r="G326" s="122">
        <f t="shared" si="84"/>
        <v>0</v>
      </c>
      <c r="H326" s="122">
        <f t="shared" si="84"/>
        <v>0</v>
      </c>
      <c r="I326" s="122">
        <f t="shared" si="84"/>
        <v>0</v>
      </c>
      <c r="J326" s="122">
        <f t="shared" si="84"/>
        <v>0</v>
      </c>
    </row>
    <row r="327" spans="3:10" x14ac:dyDescent="0.2">
      <c r="C327" s="39"/>
      <c r="D327" s="91" t="s">
        <v>0</v>
      </c>
      <c r="E327" s="122">
        <f t="shared" si="83"/>
        <v>0</v>
      </c>
      <c r="F327" s="122">
        <f t="shared" si="84"/>
        <v>0</v>
      </c>
      <c r="G327" s="122">
        <f t="shared" si="84"/>
        <v>0</v>
      </c>
      <c r="H327" s="122">
        <f t="shared" si="84"/>
        <v>0</v>
      </c>
      <c r="I327" s="122">
        <f t="shared" si="84"/>
        <v>0</v>
      </c>
      <c r="J327" s="122">
        <f t="shared" si="84"/>
        <v>0</v>
      </c>
    </row>
    <row r="328" spans="3:10" x14ac:dyDescent="0.2">
      <c r="D328" s="50"/>
    </row>
    <row r="329" spans="3:10" x14ac:dyDescent="0.2">
      <c r="C329" s="50">
        <f>+$C$187</f>
        <v>1</v>
      </c>
      <c r="D329" s="122">
        <v>2021</v>
      </c>
      <c r="E329" s="122">
        <f>+E321/C329</f>
        <v>0</v>
      </c>
      <c r="F329" s="122"/>
      <c r="G329" s="122"/>
      <c r="H329" s="122"/>
      <c r="I329" s="122"/>
      <c r="J329" s="122"/>
    </row>
    <row r="330" spans="3:10" x14ac:dyDescent="0.2">
      <c r="C330" s="50">
        <f>+$C$187</f>
        <v>1</v>
      </c>
      <c r="D330" s="122">
        <v>2022</v>
      </c>
      <c r="E330" s="122"/>
      <c r="F330" s="122">
        <f>+F321/C330</f>
        <v>0</v>
      </c>
      <c r="G330" s="122"/>
      <c r="H330" s="122"/>
      <c r="I330" s="122"/>
      <c r="J330" s="122"/>
    </row>
    <row r="331" spans="3:10" x14ac:dyDescent="0.2">
      <c r="C331" s="50">
        <f>+$C$187</f>
        <v>1</v>
      </c>
      <c r="D331" s="122">
        <v>2023</v>
      </c>
      <c r="E331" s="122"/>
      <c r="F331" s="122"/>
      <c r="G331" s="122">
        <f>+G321/C331</f>
        <v>0</v>
      </c>
      <c r="H331" s="122"/>
      <c r="I331" s="122"/>
      <c r="J331" s="122"/>
    </row>
    <row r="332" spans="3:10" x14ac:dyDescent="0.2">
      <c r="C332" s="50">
        <f>+$C$187</f>
        <v>1</v>
      </c>
      <c r="D332" s="122">
        <v>2024</v>
      </c>
      <c r="E332" s="122"/>
      <c r="F332" s="122"/>
      <c r="G332" s="122"/>
      <c r="H332" s="122">
        <f>+H321/C332</f>
        <v>0</v>
      </c>
      <c r="I332" s="122"/>
      <c r="J332" s="122"/>
    </row>
    <row r="333" spans="3:10" x14ac:dyDescent="0.2">
      <c r="C333" s="50">
        <f>+$C$187</f>
        <v>1</v>
      </c>
      <c r="D333" s="122">
        <v>2025</v>
      </c>
      <c r="E333" s="122"/>
      <c r="F333" s="122"/>
      <c r="G333" s="122"/>
      <c r="H333" s="122"/>
      <c r="I333" s="122">
        <f>+I321/C333</f>
        <v>0</v>
      </c>
      <c r="J333" s="122"/>
    </row>
    <row r="334" spans="3:10" x14ac:dyDescent="0.2">
      <c r="C334" s="50">
        <v>1</v>
      </c>
      <c r="D334" s="122">
        <v>2026</v>
      </c>
      <c r="E334" s="122"/>
      <c r="F334" s="122"/>
      <c r="G334" s="122"/>
      <c r="H334" s="122"/>
      <c r="I334" s="122"/>
      <c r="J334" s="122">
        <f>+J321/C334</f>
        <v>0</v>
      </c>
    </row>
    <row r="335" spans="3:10" x14ac:dyDescent="0.2">
      <c r="C335" s="50"/>
      <c r="D335" s="118" t="s">
        <v>294</v>
      </c>
      <c r="E335" s="122">
        <f t="shared" ref="E335:J335" si="85">SUM(E329:E333)</f>
        <v>0</v>
      </c>
      <c r="F335" s="122">
        <f t="shared" si="85"/>
        <v>0</v>
      </c>
      <c r="G335" s="122">
        <f t="shared" si="85"/>
        <v>0</v>
      </c>
      <c r="H335" s="122">
        <f t="shared" si="85"/>
        <v>0</v>
      </c>
      <c r="I335" s="122">
        <f t="shared" si="85"/>
        <v>0</v>
      </c>
      <c r="J335" s="122">
        <f t="shared" si="85"/>
        <v>0</v>
      </c>
    </row>
    <row r="336" spans="3:10" x14ac:dyDescent="0.2">
      <c r="C336" s="50"/>
      <c r="D336" s="50"/>
      <c r="E336" s="51"/>
      <c r="F336" s="51"/>
      <c r="G336" s="51"/>
      <c r="H336" s="51"/>
      <c r="I336" s="51"/>
      <c r="J336" s="51"/>
    </row>
    <row r="337" spans="3:10" x14ac:dyDescent="0.2">
      <c r="C337" s="50">
        <f>+$C$188</f>
        <v>2</v>
      </c>
      <c r="D337" s="122">
        <v>2021</v>
      </c>
      <c r="E337" s="122">
        <f>+$E$322/$C$337</f>
        <v>0</v>
      </c>
      <c r="F337" s="122">
        <f>+$E$322/$C$337</f>
        <v>0</v>
      </c>
      <c r="G337" s="122"/>
      <c r="H337" s="122"/>
      <c r="I337" s="122"/>
      <c r="J337" s="122"/>
    </row>
    <row r="338" spans="3:10" x14ac:dyDescent="0.2">
      <c r="C338" s="50">
        <f>+$C$188</f>
        <v>2</v>
      </c>
      <c r="D338" s="122">
        <v>2022</v>
      </c>
      <c r="E338" s="122"/>
      <c r="F338" s="122">
        <f>+$F$322/$C$338</f>
        <v>0</v>
      </c>
      <c r="G338" s="122">
        <f>+$F$322/$C$338</f>
        <v>0</v>
      </c>
      <c r="H338" s="122"/>
      <c r="I338" s="122"/>
      <c r="J338" s="122"/>
    </row>
    <row r="339" spans="3:10" x14ac:dyDescent="0.2">
      <c r="C339" s="50">
        <f>+$C$188</f>
        <v>2</v>
      </c>
      <c r="D339" s="122">
        <v>2023</v>
      </c>
      <c r="E339" s="122"/>
      <c r="F339" s="122"/>
      <c r="G339" s="122">
        <f>+$G$322/$C$339</f>
        <v>0</v>
      </c>
      <c r="H339" s="122">
        <f>+$G$322/$C$339</f>
        <v>0</v>
      </c>
      <c r="I339" s="122"/>
      <c r="J339" s="122"/>
    </row>
    <row r="340" spans="3:10" x14ac:dyDescent="0.2">
      <c r="C340" s="50">
        <f>+$C$188</f>
        <v>2</v>
      </c>
      <c r="D340" s="122">
        <v>2024</v>
      </c>
      <c r="E340" s="122"/>
      <c r="F340" s="122"/>
      <c r="G340" s="122"/>
      <c r="H340" s="122">
        <f>+$H$322/$C$340</f>
        <v>0</v>
      </c>
      <c r="I340" s="122">
        <f>+$H$322/$C$340</f>
        <v>0</v>
      </c>
      <c r="J340" s="122"/>
    </row>
    <row r="341" spans="3:10" x14ac:dyDescent="0.2">
      <c r="C341" s="50">
        <f>+$C$188</f>
        <v>2</v>
      </c>
      <c r="D341" s="122">
        <v>2025</v>
      </c>
      <c r="E341" s="122"/>
      <c r="F341" s="122"/>
      <c r="G341" s="122"/>
      <c r="H341" s="122"/>
      <c r="I341" s="122">
        <f>+I322/C340</f>
        <v>0</v>
      </c>
      <c r="J341" s="122">
        <f>+$I$322/$C$341</f>
        <v>0</v>
      </c>
    </row>
    <row r="342" spans="3:10" x14ac:dyDescent="0.2">
      <c r="C342" s="50">
        <v>2</v>
      </c>
      <c r="D342" s="122">
        <v>2026</v>
      </c>
      <c r="E342" s="122"/>
      <c r="F342" s="122"/>
      <c r="G342" s="122"/>
      <c r="H342" s="122"/>
      <c r="I342" s="122"/>
      <c r="J342" s="122">
        <f>+J322/C342</f>
        <v>0</v>
      </c>
    </row>
    <row r="343" spans="3:10" x14ac:dyDescent="0.2">
      <c r="C343" s="50"/>
      <c r="D343" s="118" t="s">
        <v>294</v>
      </c>
      <c r="E343" s="122">
        <f t="shared" ref="E343:J343" si="86">SUM(E337:E341)</f>
        <v>0</v>
      </c>
      <c r="F343" s="122">
        <f t="shared" si="86"/>
        <v>0</v>
      </c>
      <c r="G343" s="122">
        <f t="shared" si="86"/>
        <v>0</v>
      </c>
      <c r="H343" s="122">
        <f t="shared" si="86"/>
        <v>0</v>
      </c>
      <c r="I343" s="122">
        <f t="shared" si="86"/>
        <v>0</v>
      </c>
      <c r="J343" s="122">
        <f t="shared" si="86"/>
        <v>0</v>
      </c>
    </row>
    <row r="344" spans="3:10" x14ac:dyDescent="0.2">
      <c r="C344" s="50"/>
      <c r="D344" s="50"/>
      <c r="E344" s="51"/>
      <c r="F344" s="51"/>
      <c r="G344" s="51"/>
      <c r="H344" s="51"/>
      <c r="I344" s="51"/>
      <c r="J344" s="51"/>
    </row>
    <row r="345" spans="3:10" x14ac:dyDescent="0.2">
      <c r="C345" s="50">
        <f>+$C$189</f>
        <v>3</v>
      </c>
      <c r="D345" s="122">
        <v>2021</v>
      </c>
      <c r="E345" s="122">
        <f>+$E$323/$C$345</f>
        <v>0</v>
      </c>
      <c r="F345" s="122">
        <f>+$E$323/$C$345</f>
        <v>0</v>
      </c>
      <c r="G345" s="122">
        <f>+$E$323/$C$345</f>
        <v>0</v>
      </c>
      <c r="H345" s="122"/>
      <c r="I345" s="122"/>
      <c r="J345" s="122"/>
    </row>
    <row r="346" spans="3:10" x14ac:dyDescent="0.2">
      <c r="C346" s="50">
        <f>+$C$189</f>
        <v>3</v>
      </c>
      <c r="D346" s="122">
        <v>2022</v>
      </c>
      <c r="E346" s="122"/>
      <c r="F346" s="122">
        <f>+$F$323/$C$346</f>
        <v>0</v>
      </c>
      <c r="G346" s="122">
        <f>+$F$323/$C$346</f>
        <v>0</v>
      </c>
      <c r="H346" s="122">
        <f>+$F$323/$C$346</f>
        <v>0</v>
      </c>
      <c r="I346" s="122"/>
      <c r="J346" s="122"/>
    </row>
    <row r="347" spans="3:10" x14ac:dyDescent="0.2">
      <c r="C347" s="50">
        <f>+$C$189</f>
        <v>3</v>
      </c>
      <c r="D347" s="122">
        <v>2023</v>
      </c>
      <c r="E347" s="122"/>
      <c r="F347" s="122"/>
      <c r="G347" s="122">
        <f>+$G$323/$C$347</f>
        <v>0</v>
      </c>
      <c r="H347" s="122">
        <f>+$G$323/$C$347</f>
        <v>0</v>
      </c>
      <c r="I347" s="122">
        <f>+$G$323/$C$347</f>
        <v>0</v>
      </c>
      <c r="J347" s="122"/>
    </row>
    <row r="348" spans="3:10" x14ac:dyDescent="0.2">
      <c r="C348" s="50">
        <f>+$C$189</f>
        <v>3</v>
      </c>
      <c r="D348" s="122">
        <v>2024</v>
      </c>
      <c r="E348" s="122"/>
      <c r="F348" s="122"/>
      <c r="G348" s="122"/>
      <c r="H348" s="122">
        <f>+$H$323/$D$348</f>
        <v>0</v>
      </c>
      <c r="I348" s="122">
        <f>+$H$323/$D$348</f>
        <v>0</v>
      </c>
      <c r="J348" s="122">
        <f>+$H$323/$C$348</f>
        <v>0</v>
      </c>
    </row>
    <row r="349" spans="3:10" x14ac:dyDescent="0.2">
      <c r="C349" s="50">
        <f>+$C$189</f>
        <v>3</v>
      </c>
      <c r="D349" s="122">
        <v>2025</v>
      </c>
      <c r="E349" s="122"/>
      <c r="F349" s="122"/>
      <c r="G349" s="122"/>
      <c r="H349" s="122"/>
      <c r="I349" s="122">
        <f>+$I$323/C349</f>
        <v>0</v>
      </c>
      <c r="J349" s="122">
        <f>+$I$323/$C$349</f>
        <v>0</v>
      </c>
    </row>
    <row r="350" spans="3:10" x14ac:dyDescent="0.2">
      <c r="C350" s="50">
        <v>3</v>
      </c>
      <c r="D350" s="122">
        <v>2026</v>
      </c>
      <c r="E350" s="122"/>
      <c r="F350" s="122"/>
      <c r="G350" s="122"/>
      <c r="H350" s="122"/>
      <c r="I350" s="122"/>
      <c r="J350" s="122">
        <f>+$J$323/C350</f>
        <v>0</v>
      </c>
    </row>
    <row r="351" spans="3:10" x14ac:dyDescent="0.2">
      <c r="C351" s="50"/>
      <c r="D351" s="118" t="s">
        <v>294</v>
      </c>
      <c r="E351" s="122">
        <f t="shared" ref="E351:J351" si="87">SUM(E345:E349)</f>
        <v>0</v>
      </c>
      <c r="F351" s="122">
        <f t="shared" si="87"/>
        <v>0</v>
      </c>
      <c r="G351" s="122">
        <f t="shared" si="87"/>
        <v>0</v>
      </c>
      <c r="H351" s="122">
        <f t="shared" si="87"/>
        <v>0</v>
      </c>
      <c r="I351" s="122">
        <f t="shared" si="87"/>
        <v>0</v>
      </c>
      <c r="J351" s="122">
        <f t="shared" si="87"/>
        <v>0</v>
      </c>
    </row>
    <row r="352" spans="3:10" x14ac:dyDescent="0.2">
      <c r="C352" s="50"/>
      <c r="D352" s="50"/>
      <c r="E352" s="51"/>
      <c r="F352" s="51"/>
      <c r="G352" s="51"/>
      <c r="H352" s="51"/>
      <c r="I352" s="51"/>
      <c r="J352" s="51"/>
    </row>
    <row r="353" spans="3:10" x14ac:dyDescent="0.2">
      <c r="C353" s="50">
        <f>+$C$190</f>
        <v>4</v>
      </c>
      <c r="D353" s="122">
        <v>2021</v>
      </c>
      <c r="E353" s="122">
        <f>+$E$324/$C$353</f>
        <v>0</v>
      </c>
      <c r="F353" s="122">
        <f>+$E$324/$C$353</f>
        <v>0</v>
      </c>
      <c r="G353" s="122">
        <f>+$E$324/$C$353</f>
        <v>0</v>
      </c>
      <c r="H353" s="122">
        <f>+$E$324/$C$353</f>
        <v>0</v>
      </c>
      <c r="I353" s="122"/>
      <c r="J353" s="122"/>
    </row>
    <row r="354" spans="3:10" x14ac:dyDescent="0.2">
      <c r="C354" s="50">
        <f>+$C$190</f>
        <v>4</v>
      </c>
      <c r="D354" s="122">
        <v>2022</v>
      </c>
      <c r="E354" s="122"/>
      <c r="F354" s="122">
        <f>+$F$324/$C$354</f>
        <v>0</v>
      </c>
      <c r="G354" s="122">
        <f>+$F$324/$C$354</f>
        <v>0</v>
      </c>
      <c r="H354" s="122">
        <f>+$F$324/$C$354</f>
        <v>0</v>
      </c>
      <c r="I354" s="122">
        <f>+$F$324/$C$354</f>
        <v>0</v>
      </c>
      <c r="J354" s="122"/>
    </row>
    <row r="355" spans="3:10" x14ac:dyDescent="0.2">
      <c r="C355" s="50">
        <f>+$C$190</f>
        <v>4</v>
      </c>
      <c r="D355" s="122">
        <v>2023</v>
      </c>
      <c r="E355" s="122"/>
      <c r="F355" s="122"/>
      <c r="G355" s="122">
        <f>+$G$324/$C$355</f>
        <v>0</v>
      </c>
      <c r="H355" s="122">
        <f>+$G$324/$C$355</f>
        <v>0</v>
      </c>
      <c r="I355" s="122">
        <f>+$G$324/$C$355</f>
        <v>0</v>
      </c>
      <c r="J355" s="122">
        <f>+$G$324/$C$355</f>
        <v>0</v>
      </c>
    </row>
    <row r="356" spans="3:10" x14ac:dyDescent="0.2">
      <c r="C356" s="50">
        <f>+$C$190</f>
        <v>4</v>
      </c>
      <c r="D356" s="122">
        <v>2024</v>
      </c>
      <c r="E356" s="122"/>
      <c r="F356" s="122"/>
      <c r="G356" s="122"/>
      <c r="H356" s="122">
        <f>+$H$324/$C$356</f>
        <v>0</v>
      </c>
      <c r="I356" s="122">
        <f>+$H$324/$C$356</f>
        <v>0</v>
      </c>
      <c r="J356" s="122">
        <f>+$H$324/$C$356</f>
        <v>0</v>
      </c>
    </row>
    <row r="357" spans="3:10" x14ac:dyDescent="0.2">
      <c r="C357" s="50">
        <f>+$C$190</f>
        <v>4</v>
      </c>
      <c r="D357" s="122">
        <v>2025</v>
      </c>
      <c r="E357" s="122"/>
      <c r="F357" s="122"/>
      <c r="G357" s="122"/>
      <c r="H357" s="122"/>
      <c r="I357" s="122">
        <f>+I324/C357</f>
        <v>0</v>
      </c>
      <c r="J357" s="122">
        <f>+$I$324/$C$357</f>
        <v>0</v>
      </c>
    </row>
    <row r="358" spans="3:10" x14ac:dyDescent="0.2">
      <c r="C358" s="50">
        <v>4</v>
      </c>
      <c r="D358" s="122">
        <v>2026</v>
      </c>
      <c r="E358" s="122"/>
      <c r="F358" s="122"/>
      <c r="G358" s="122"/>
      <c r="H358" s="122"/>
      <c r="I358" s="122"/>
      <c r="J358" s="122">
        <f>+J325/C358</f>
        <v>0</v>
      </c>
    </row>
    <row r="359" spans="3:10" x14ac:dyDescent="0.2">
      <c r="C359" s="50"/>
      <c r="D359" s="118" t="s">
        <v>294</v>
      </c>
      <c r="E359" s="122">
        <f t="shared" ref="E359:J359" si="88">SUM(E353:E357)</f>
        <v>0</v>
      </c>
      <c r="F359" s="122">
        <f t="shared" si="88"/>
        <v>0</v>
      </c>
      <c r="G359" s="122">
        <f t="shared" si="88"/>
        <v>0</v>
      </c>
      <c r="H359" s="122">
        <f t="shared" si="88"/>
        <v>0</v>
      </c>
      <c r="I359" s="122">
        <f t="shared" si="88"/>
        <v>0</v>
      </c>
      <c r="J359" s="122">
        <f t="shared" si="88"/>
        <v>0</v>
      </c>
    </row>
    <row r="360" spans="3:10" x14ac:dyDescent="0.2">
      <c r="C360" s="50"/>
      <c r="D360" s="50"/>
      <c r="E360" s="51"/>
      <c r="F360" s="51"/>
      <c r="G360" s="51"/>
      <c r="H360" s="51"/>
      <c r="I360" s="51"/>
      <c r="J360" s="51"/>
    </row>
    <row r="361" spans="3:10" x14ac:dyDescent="0.2">
      <c r="C361" s="50">
        <f>+$C$191</f>
        <v>5</v>
      </c>
      <c r="D361" s="122">
        <v>2021</v>
      </c>
      <c r="E361" s="122">
        <f>+$E$325/$C$361</f>
        <v>55300</v>
      </c>
      <c r="F361" s="122">
        <f>+$E$325/$C$361</f>
        <v>55300</v>
      </c>
      <c r="G361" s="122">
        <f>+$E$325/$C$361</f>
        <v>55300</v>
      </c>
      <c r="H361" s="122">
        <f>+$E$325/$C$361</f>
        <v>55300</v>
      </c>
      <c r="I361" s="122">
        <f>+$E$325/$C$361</f>
        <v>55300</v>
      </c>
      <c r="J361" s="122"/>
    </row>
    <row r="362" spans="3:10" x14ac:dyDescent="0.2">
      <c r="C362" s="50">
        <f>+$C$191</f>
        <v>5</v>
      </c>
      <c r="D362" s="122">
        <v>2022</v>
      </c>
      <c r="E362" s="122"/>
      <c r="F362" s="122">
        <f>+$F$325/$C$362</f>
        <v>0</v>
      </c>
      <c r="G362" s="122">
        <f>+$F$325/$C$362</f>
        <v>0</v>
      </c>
      <c r="H362" s="122">
        <f>+$F$325/$C$362</f>
        <v>0</v>
      </c>
      <c r="I362" s="122">
        <f>+$F$325/$C$362</f>
        <v>0</v>
      </c>
      <c r="J362" s="122">
        <f>+$F$325/$C$361</f>
        <v>0</v>
      </c>
    </row>
    <row r="363" spans="3:10" x14ac:dyDescent="0.2">
      <c r="C363" s="50">
        <f>+$C$191</f>
        <v>5</v>
      </c>
      <c r="D363" s="122">
        <v>2023</v>
      </c>
      <c r="E363" s="122"/>
      <c r="F363" s="122"/>
      <c r="G363" s="122">
        <f>+$G$325/$C$363</f>
        <v>0</v>
      </c>
      <c r="H363" s="122">
        <f>+$G$325/$C$363</f>
        <v>0</v>
      </c>
      <c r="I363" s="122">
        <f>+$G$325/$C$363</f>
        <v>0</v>
      </c>
      <c r="J363" s="122">
        <f>+$G$325/$C$363</f>
        <v>0</v>
      </c>
    </row>
    <row r="364" spans="3:10" x14ac:dyDescent="0.2">
      <c r="C364" s="50">
        <f>+$C$191</f>
        <v>5</v>
      </c>
      <c r="D364" s="122">
        <v>2024</v>
      </c>
      <c r="E364" s="122"/>
      <c r="F364" s="122"/>
      <c r="G364" s="122"/>
      <c r="H364" s="122">
        <f>+$H$325/$C$364</f>
        <v>0</v>
      </c>
      <c r="I364" s="122">
        <f>+$H$325/$C$364</f>
        <v>0</v>
      </c>
      <c r="J364" s="122">
        <f>+$H$325/$C$364</f>
        <v>0</v>
      </c>
    </row>
    <row r="365" spans="3:10" x14ac:dyDescent="0.2">
      <c r="C365" s="50">
        <f>+$C$191</f>
        <v>5</v>
      </c>
      <c r="D365" s="122">
        <v>2025</v>
      </c>
      <c r="E365" s="122"/>
      <c r="F365" s="122"/>
      <c r="G365" s="122"/>
      <c r="H365" s="122"/>
      <c r="I365" s="122">
        <f>+I325/C365</f>
        <v>0</v>
      </c>
      <c r="J365" s="122">
        <f>+$I$325/$C$364</f>
        <v>0</v>
      </c>
    </row>
    <row r="366" spans="3:10" x14ac:dyDescent="0.2">
      <c r="C366" s="50">
        <v>5</v>
      </c>
      <c r="D366" s="122">
        <v>2026</v>
      </c>
      <c r="E366" s="122"/>
      <c r="F366" s="122"/>
      <c r="G366" s="122"/>
      <c r="H366" s="122"/>
      <c r="I366" s="122"/>
      <c r="J366" s="122">
        <f>+J327/C366</f>
        <v>0</v>
      </c>
    </row>
    <row r="367" spans="3:10" x14ac:dyDescent="0.2">
      <c r="C367" s="50"/>
      <c r="D367" s="118" t="s">
        <v>294</v>
      </c>
      <c r="E367" s="122">
        <f t="shared" ref="E367:J367" si="89">SUM(E361:E365)</f>
        <v>55300</v>
      </c>
      <c r="F367" s="122">
        <f t="shared" si="89"/>
        <v>55300</v>
      </c>
      <c r="G367" s="122">
        <f t="shared" si="89"/>
        <v>55300</v>
      </c>
      <c r="H367" s="122">
        <f t="shared" si="89"/>
        <v>55300</v>
      </c>
      <c r="I367" s="122">
        <f t="shared" si="89"/>
        <v>55300</v>
      </c>
      <c r="J367" s="122">
        <f t="shared" si="89"/>
        <v>0</v>
      </c>
    </row>
    <row r="368" spans="3:10" x14ac:dyDescent="0.2">
      <c r="C368" s="50"/>
      <c r="D368" s="91"/>
      <c r="E368" s="163"/>
      <c r="F368" s="163"/>
      <c r="G368" s="163"/>
      <c r="H368" s="163"/>
      <c r="I368" s="163"/>
      <c r="J368" s="163"/>
    </row>
    <row r="369" spans="3:10" x14ac:dyDescent="0.2">
      <c r="C369" s="50">
        <v>6</v>
      </c>
      <c r="D369" s="122">
        <v>2021</v>
      </c>
      <c r="E369" s="122">
        <f t="shared" ref="E369:J369" si="90">+$E$326/$C$369</f>
        <v>0</v>
      </c>
      <c r="F369" s="122">
        <f t="shared" si="90"/>
        <v>0</v>
      </c>
      <c r="G369" s="122">
        <f t="shared" si="90"/>
        <v>0</v>
      </c>
      <c r="H369" s="122">
        <f t="shared" si="90"/>
        <v>0</v>
      </c>
      <c r="I369" s="122">
        <f t="shared" si="90"/>
        <v>0</v>
      </c>
      <c r="J369" s="122">
        <f t="shared" si="90"/>
        <v>0</v>
      </c>
    </row>
    <row r="370" spans="3:10" x14ac:dyDescent="0.2">
      <c r="C370" s="50">
        <v>6</v>
      </c>
      <c r="D370" s="122">
        <v>2022</v>
      </c>
      <c r="E370" s="122"/>
      <c r="F370" s="122">
        <f>+$F$326/$C$370</f>
        <v>0</v>
      </c>
      <c r="G370" s="122">
        <f>+$F$326/$C$370</f>
        <v>0</v>
      </c>
      <c r="H370" s="122">
        <f>+$F$326/$C$370</f>
        <v>0</v>
      </c>
      <c r="I370" s="122">
        <f>+$F$326/$C$370</f>
        <v>0</v>
      </c>
      <c r="J370" s="122">
        <f>+$F$326/$C$370</f>
        <v>0</v>
      </c>
    </row>
    <row r="371" spans="3:10" x14ac:dyDescent="0.2">
      <c r="C371" s="50">
        <v>6</v>
      </c>
      <c r="D371" s="122">
        <v>2023</v>
      </c>
      <c r="E371" s="122"/>
      <c r="F371" s="122"/>
      <c r="G371" s="122">
        <f>+$G$326/$C$371</f>
        <v>0</v>
      </c>
      <c r="H371" s="122">
        <f>+$G$326/$C$371</f>
        <v>0</v>
      </c>
      <c r="I371" s="122">
        <f>+$G$326/$C$371</f>
        <v>0</v>
      </c>
      <c r="J371" s="122">
        <f>+$G$326/$C$371</f>
        <v>0</v>
      </c>
    </row>
    <row r="372" spans="3:10" x14ac:dyDescent="0.2">
      <c r="C372" s="50">
        <v>6</v>
      </c>
      <c r="D372" s="122">
        <v>2024</v>
      </c>
      <c r="E372" s="122"/>
      <c r="F372" s="122"/>
      <c r="G372" s="122"/>
      <c r="H372" s="122">
        <f>+$H$326/$C$372</f>
        <v>0</v>
      </c>
      <c r="I372" s="122">
        <f>+$H$326/$C$372</f>
        <v>0</v>
      </c>
      <c r="J372" s="122">
        <f>+$H$326/$C$372</f>
        <v>0</v>
      </c>
    </row>
    <row r="373" spans="3:10" x14ac:dyDescent="0.2">
      <c r="C373" s="50">
        <v>6</v>
      </c>
      <c r="D373" s="122">
        <v>2025</v>
      </c>
      <c r="E373" s="122"/>
      <c r="F373" s="122"/>
      <c r="G373" s="122"/>
      <c r="H373" s="122"/>
      <c r="I373" s="122">
        <f>+I326/C373</f>
        <v>0</v>
      </c>
      <c r="J373" s="122">
        <f>+$I$326/$C$373</f>
        <v>0</v>
      </c>
    </row>
    <row r="374" spans="3:10" x14ac:dyDescent="0.2">
      <c r="C374" s="50">
        <v>6</v>
      </c>
      <c r="D374" s="122">
        <v>2026</v>
      </c>
      <c r="E374" s="122"/>
      <c r="F374" s="122"/>
      <c r="G374" s="122"/>
      <c r="H374" s="122"/>
      <c r="I374" s="122"/>
      <c r="J374" s="122">
        <f>+J326/C374</f>
        <v>0</v>
      </c>
    </row>
    <row r="375" spans="3:10" x14ac:dyDescent="0.2">
      <c r="C375" s="50"/>
      <c r="D375" s="118" t="s">
        <v>294</v>
      </c>
      <c r="E375" s="122">
        <f t="shared" ref="E375:J375" si="91">SUM(E369:E373)</f>
        <v>0</v>
      </c>
      <c r="F375" s="122">
        <f t="shared" si="91"/>
        <v>0</v>
      </c>
      <c r="G375" s="122">
        <f t="shared" si="91"/>
        <v>0</v>
      </c>
      <c r="H375" s="122">
        <f t="shared" si="91"/>
        <v>0</v>
      </c>
      <c r="I375" s="122">
        <f t="shared" si="91"/>
        <v>0</v>
      </c>
      <c r="J375" s="122">
        <f t="shared" si="91"/>
        <v>0</v>
      </c>
    </row>
    <row r="376" spans="3:10" x14ac:dyDescent="0.2">
      <c r="D376" s="50"/>
    </row>
    <row r="377" spans="3:10" x14ac:dyDescent="0.2">
      <c r="C377" s="123" t="s">
        <v>297</v>
      </c>
      <c r="D377" s="124"/>
      <c r="E377" s="125">
        <f t="shared" ref="E377:J377" si="92">+E367+E359+E351+E343+E335+E375</f>
        <v>55300</v>
      </c>
      <c r="F377" s="125">
        <f t="shared" si="92"/>
        <v>55300</v>
      </c>
      <c r="G377" s="125">
        <f t="shared" si="92"/>
        <v>55300</v>
      </c>
      <c r="H377" s="125">
        <f t="shared" si="92"/>
        <v>55300</v>
      </c>
      <c r="I377" s="125">
        <f t="shared" si="92"/>
        <v>55300</v>
      </c>
      <c r="J377" s="125">
        <f t="shared" si="92"/>
        <v>0</v>
      </c>
    </row>
    <row r="378" spans="3:10" x14ac:dyDescent="0.2">
      <c r="C378" s="123" t="s">
        <v>298</v>
      </c>
      <c r="D378" s="124"/>
      <c r="E378" s="125">
        <f>+E377</f>
        <v>55300</v>
      </c>
      <c r="F378" s="125">
        <f>+F377+E378</f>
        <v>110600</v>
      </c>
      <c r="G378" s="125">
        <f>+G377+F378</f>
        <v>165900</v>
      </c>
      <c r="H378" s="125">
        <f>+H377+G378</f>
        <v>221200</v>
      </c>
      <c r="I378" s="125">
        <f>+I377+H378</f>
        <v>276500</v>
      </c>
      <c r="J378" s="125">
        <f>+J377+I378</f>
        <v>276500</v>
      </c>
    </row>
  </sheetData>
  <mergeCells count="8">
    <mergeCell ref="B8:O8"/>
    <mergeCell ref="B9:O9"/>
    <mergeCell ref="E255:I255"/>
    <mergeCell ref="E319:I319"/>
    <mergeCell ref="E185:I185"/>
    <mergeCell ref="C175:E175"/>
    <mergeCell ref="E11:J11"/>
    <mergeCell ref="K11:P11"/>
  </mergeCells>
  <phoneticPr fontId="0" type="noConversion"/>
  <printOptions horizontalCentered="1" verticalCentered="1"/>
  <pageMargins left="0.19685039370078741" right="0.19685039370078741" top="0.19685039370078741" bottom="0.19685039370078741" header="0" footer="0"/>
  <pageSetup paperSize="9" scale="70" orientation="landscape" horizontalDpi="300" verticalDpi="300" r:id="rId1"/>
  <headerFooter alignWithMargins="0"/>
  <rowBreaks count="2" manualBreakCount="2">
    <brk id="127" max="16383" man="1"/>
    <brk id="174" max="16383" man="1"/>
  </rowBreaks>
  <drawing r:id="rId2"/>
  <legacyDrawing r:id="rId3"/>
  <controls>
    <mc:AlternateContent xmlns:mc="http://schemas.openxmlformats.org/markup-compatibility/2006">
      <mc:Choice Requires="x14">
        <control shapeId="13720" r:id="rId4" name="CommandButton1">
          <controlPr defaultSize="0" autoLine="0" r:id="rId5">
            <anchor moveWithCells="1">
              <from>
                <xdr:col>2</xdr:col>
                <xdr:colOff>0</xdr:colOff>
                <xdr:row>1</xdr:row>
                <xdr:rowOff>0</xdr:rowOff>
              </from>
              <to>
                <xdr:col>2</xdr:col>
                <xdr:colOff>1685925</xdr:colOff>
                <xdr:row>4</xdr:row>
                <xdr:rowOff>104775</xdr:rowOff>
              </to>
            </anchor>
          </controlPr>
        </control>
      </mc:Choice>
      <mc:Fallback>
        <control shapeId="13720" r:id="rId4" name="CommandButton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outlinePr summaryBelow="0"/>
    <pageSetUpPr fitToPage="1"/>
  </sheetPr>
  <dimension ref="B1:O923"/>
  <sheetViews>
    <sheetView showGridLines="0" topLeftCell="A737" zoomScale="159" zoomScaleNormal="120" workbookViewId="0">
      <selection activeCell="C758" sqref="C758"/>
    </sheetView>
  </sheetViews>
  <sheetFormatPr baseColWidth="10" defaultRowHeight="12.75" outlineLevelRow="2" x14ac:dyDescent="0.2"/>
  <cols>
    <col min="1" max="1" width="3.7109375" style="23" customWidth="1"/>
    <col min="2" max="2" width="45.140625" style="23" customWidth="1"/>
    <col min="3" max="7" width="16.5703125" style="23" bestFit="1" customWidth="1"/>
    <col min="8" max="15" width="15" style="23" customWidth="1"/>
    <col min="16" max="16384" width="11.42578125" style="23"/>
  </cols>
  <sheetData>
    <row r="1" spans="2:15" ht="18" customHeight="1" x14ac:dyDescent="0.2">
      <c r="L1" s="166"/>
    </row>
    <row r="3" spans="2:15" x14ac:dyDescent="0.2">
      <c r="F3" s="68"/>
    </row>
    <row r="4" spans="2:15" x14ac:dyDescent="0.2">
      <c r="F4" s="88"/>
    </row>
    <row r="5" spans="2:15" x14ac:dyDescent="0.2">
      <c r="F5" s="88"/>
    </row>
    <row r="6" spans="2:15" x14ac:dyDescent="0.2">
      <c r="F6" s="88"/>
    </row>
    <row r="7" spans="2:15" x14ac:dyDescent="0.2">
      <c r="I7" s="130"/>
    </row>
    <row r="8" spans="2:15" x14ac:dyDescent="0.2">
      <c r="B8" s="756" t="str">
        <f>+Supuestos!B8</f>
        <v>Centro de acopio la Bonanza Campesina</v>
      </c>
      <c r="C8" s="757"/>
      <c r="D8" s="757"/>
      <c r="E8" s="757"/>
      <c r="F8" s="757"/>
      <c r="G8" s="757"/>
      <c r="H8" s="757"/>
      <c r="I8" s="757"/>
      <c r="J8" s="757"/>
      <c r="K8" s="757"/>
      <c r="L8" s="757"/>
      <c r="M8" s="757"/>
      <c r="N8" s="757"/>
      <c r="O8" s="758"/>
    </row>
    <row r="9" spans="2:15" x14ac:dyDescent="0.2">
      <c r="B9" s="759" t="s">
        <v>231</v>
      </c>
      <c r="C9" s="760"/>
      <c r="D9" s="760"/>
      <c r="E9" s="760"/>
      <c r="F9" s="760"/>
      <c r="G9" s="760"/>
      <c r="H9" s="760"/>
      <c r="I9" s="760"/>
      <c r="J9" s="760"/>
      <c r="K9" s="760"/>
      <c r="L9" s="760"/>
      <c r="M9" s="760"/>
      <c r="N9" s="760"/>
      <c r="O9" s="761"/>
    </row>
    <row r="11" spans="2:15" x14ac:dyDescent="0.2">
      <c r="B11" s="78" t="s">
        <v>87</v>
      </c>
      <c r="C11" s="124" t="s">
        <v>218</v>
      </c>
      <c r="D11" s="124" t="s">
        <v>219</v>
      </c>
      <c r="E11" s="124" t="s">
        <v>220</v>
      </c>
      <c r="F11" s="124" t="s">
        <v>221</v>
      </c>
      <c r="G11" s="124" t="s">
        <v>222</v>
      </c>
      <c r="H11" s="124" t="s">
        <v>223</v>
      </c>
      <c r="I11" s="124" t="s">
        <v>224</v>
      </c>
      <c r="J11" s="124" t="s">
        <v>225</v>
      </c>
      <c r="K11" s="124" t="s">
        <v>226</v>
      </c>
      <c r="L11" s="124" t="s">
        <v>227</v>
      </c>
      <c r="M11" s="124" t="s">
        <v>228</v>
      </c>
      <c r="N11" s="124" t="s">
        <v>229</v>
      </c>
      <c r="O11" s="124" t="s">
        <v>230</v>
      </c>
    </row>
    <row r="12" spans="2:15" ht="15" x14ac:dyDescent="0.25">
      <c r="B12" s="274" t="s">
        <v>472</v>
      </c>
      <c r="C12" s="82"/>
      <c r="D12" s="82"/>
      <c r="E12" s="82"/>
      <c r="F12" s="82"/>
      <c r="G12" s="82"/>
      <c r="H12" s="82"/>
      <c r="I12" s="82"/>
      <c r="J12" s="82"/>
      <c r="K12" s="82"/>
      <c r="L12" s="82"/>
      <c r="M12" s="82"/>
      <c r="N12" s="82"/>
      <c r="O12" s="82"/>
    </row>
    <row r="13" spans="2:15" outlineLevel="1" x14ac:dyDescent="0.2">
      <c r="B13" s="721" t="s">
        <v>427</v>
      </c>
      <c r="C13" s="276">
        <v>36.299999999999997</v>
      </c>
      <c r="D13" s="79">
        <f t="shared" ref="D13" si="0">+C13*(1+D15)</f>
        <v>36.299999999999997</v>
      </c>
      <c r="E13" s="79">
        <f t="shared" ref="E13" si="1">+D13*(1+E15)</f>
        <v>36.299999999999997</v>
      </c>
      <c r="F13" s="79">
        <f t="shared" ref="F13" si="2">+E13*(1+F15)</f>
        <v>36.299999999999997</v>
      </c>
      <c r="G13" s="79">
        <f t="shared" ref="G13" si="3">+F13*(1+G15)</f>
        <v>36.299999999999997</v>
      </c>
      <c r="H13" s="79">
        <f t="shared" ref="H13" si="4">+G13*(1+H15)</f>
        <v>36.299999999999997</v>
      </c>
      <c r="I13" s="79">
        <f t="shared" ref="I13" si="5">+H13*(1+I15)</f>
        <v>36.299999999999997</v>
      </c>
      <c r="J13" s="79">
        <f t="shared" ref="J13" si="6">+I13*(1+J15)</f>
        <v>36.299999999999997</v>
      </c>
      <c r="K13" s="79">
        <f t="shared" ref="K13" si="7">+J13*(1+K15)</f>
        <v>36.299999999999997</v>
      </c>
      <c r="L13" s="79">
        <f t="shared" ref="L13" si="8">+K13*(1+L15)</f>
        <v>36.299999999999997</v>
      </c>
      <c r="M13" s="79">
        <f t="shared" ref="M13" si="9">+L13*(1+M15)</f>
        <v>36.299999999999997</v>
      </c>
      <c r="N13" s="79">
        <f t="shared" ref="N13" si="10">+M13*(1+N15)</f>
        <v>36.299999999999997</v>
      </c>
      <c r="O13" s="79">
        <f>SUM(C13:N13)</f>
        <v>435.60000000000008</v>
      </c>
    </row>
    <row r="14" spans="2:15" outlineLevel="1" x14ac:dyDescent="0.2">
      <c r="B14" s="722"/>
      <c r="C14" s="171"/>
      <c r="D14" s="32"/>
      <c r="E14" s="32"/>
      <c r="F14" s="32"/>
      <c r="G14" s="32"/>
      <c r="H14" s="32"/>
      <c r="I14" s="32"/>
      <c r="J14" s="32"/>
      <c r="K14" s="32"/>
      <c r="L14" s="32"/>
      <c r="M14" s="32"/>
      <c r="N14" s="32"/>
      <c r="O14" s="82"/>
    </row>
    <row r="15" spans="2:15" outlineLevel="1" x14ac:dyDescent="0.2">
      <c r="B15" s="722" t="s">
        <v>282</v>
      </c>
      <c r="C15" s="277"/>
      <c r="D15" s="275"/>
      <c r="E15" s="275"/>
      <c r="F15" s="275"/>
      <c r="G15" s="275"/>
      <c r="H15" s="275"/>
      <c r="I15" s="275"/>
      <c r="J15" s="275"/>
      <c r="K15" s="275"/>
      <c r="L15" s="275"/>
      <c r="M15" s="275"/>
      <c r="N15" s="275"/>
      <c r="O15" s="275"/>
    </row>
    <row r="16" spans="2:15" outlineLevel="1" x14ac:dyDescent="0.2">
      <c r="B16" s="722" t="s">
        <v>249</v>
      </c>
      <c r="C16" s="276">
        <v>3163.16</v>
      </c>
      <c r="D16" s="79">
        <f>+C16*(1+D18)</f>
        <v>3163.16</v>
      </c>
      <c r="E16" s="79">
        <f t="shared" ref="E16" si="11">+D16*(1+E18)</f>
        <v>3163.16</v>
      </c>
      <c r="F16" s="79">
        <f t="shared" ref="F16" si="12">+E16*(1+F18)</f>
        <v>3163.16</v>
      </c>
      <c r="G16" s="79">
        <f t="shared" ref="G16" si="13">+F16*(1+G18)</f>
        <v>3163.16</v>
      </c>
      <c r="H16" s="79">
        <f t="shared" ref="H16" si="14">+G16*(1+H18)</f>
        <v>3163.16</v>
      </c>
      <c r="I16" s="79">
        <f t="shared" ref="I16" si="15">+H16*(1+I18)</f>
        <v>3163.16</v>
      </c>
      <c r="J16" s="79">
        <f t="shared" ref="J16" si="16">+I16*(1+J18)</f>
        <v>3163.16</v>
      </c>
      <c r="K16" s="79">
        <f t="shared" ref="K16" si="17">+J16*(1+K18)</f>
        <v>3163.16</v>
      </c>
      <c r="L16" s="79">
        <f t="shared" ref="L16" si="18">+K16*(1+L18)</f>
        <v>3163.16</v>
      </c>
      <c r="M16" s="79">
        <f t="shared" ref="M16" si="19">+L16*(1+M18)</f>
        <v>3163.16</v>
      </c>
      <c r="N16" s="79">
        <f>+M16*(1+N18)</f>
        <v>3163.16</v>
      </c>
      <c r="O16" s="79">
        <f>+N16</f>
        <v>3163.16</v>
      </c>
    </row>
    <row r="17" spans="2:15" outlineLevel="1" x14ac:dyDescent="0.2">
      <c r="B17" s="722"/>
      <c r="C17" s="32"/>
      <c r="D17" s="32"/>
      <c r="E17" s="32"/>
      <c r="F17" s="32"/>
      <c r="G17" s="32"/>
      <c r="H17" s="32"/>
      <c r="I17" s="32"/>
      <c r="J17" s="32"/>
      <c r="K17" s="32"/>
      <c r="L17" s="32"/>
      <c r="M17" s="32"/>
      <c r="N17" s="32"/>
      <c r="O17" s="82"/>
    </row>
    <row r="18" spans="2:15" outlineLevel="1" x14ac:dyDescent="0.2">
      <c r="B18" s="722" t="s">
        <v>282</v>
      </c>
      <c r="C18" s="80"/>
      <c r="D18" s="275">
        <v>0</v>
      </c>
      <c r="E18" s="275">
        <v>0</v>
      </c>
      <c r="F18" s="275">
        <v>0</v>
      </c>
      <c r="G18" s="275">
        <v>0</v>
      </c>
      <c r="H18" s="275">
        <v>0</v>
      </c>
      <c r="I18" s="275">
        <v>0</v>
      </c>
      <c r="J18" s="275">
        <v>0</v>
      </c>
      <c r="K18" s="275">
        <v>0</v>
      </c>
      <c r="L18" s="275">
        <v>0</v>
      </c>
      <c r="M18" s="275">
        <v>0</v>
      </c>
      <c r="N18" s="275">
        <v>0</v>
      </c>
      <c r="O18" s="186"/>
    </row>
    <row r="19" spans="2:15" ht="15" customHeight="1" outlineLevel="1" x14ac:dyDescent="0.2">
      <c r="B19" s="722" t="s">
        <v>1</v>
      </c>
      <c r="C19" s="134">
        <f>+C16*C13</f>
        <v>114822.70799999998</v>
      </c>
      <c r="D19" s="134">
        <f t="shared" ref="D19:N19" si="20">+D16*D13</f>
        <v>114822.70799999998</v>
      </c>
      <c r="E19" s="134">
        <f t="shared" si="20"/>
        <v>114822.70799999998</v>
      </c>
      <c r="F19" s="134">
        <f t="shared" si="20"/>
        <v>114822.70799999998</v>
      </c>
      <c r="G19" s="134">
        <f t="shared" si="20"/>
        <v>114822.70799999998</v>
      </c>
      <c r="H19" s="134">
        <f t="shared" si="20"/>
        <v>114822.70799999998</v>
      </c>
      <c r="I19" s="134">
        <f t="shared" si="20"/>
        <v>114822.70799999998</v>
      </c>
      <c r="J19" s="134">
        <f t="shared" si="20"/>
        <v>114822.70799999998</v>
      </c>
      <c r="K19" s="134">
        <f t="shared" si="20"/>
        <v>114822.70799999998</v>
      </c>
      <c r="L19" s="134">
        <f t="shared" si="20"/>
        <v>114822.70799999998</v>
      </c>
      <c r="M19" s="134">
        <f t="shared" si="20"/>
        <v>114822.70799999998</v>
      </c>
      <c r="N19" s="134">
        <f t="shared" si="20"/>
        <v>114822.70799999998</v>
      </c>
      <c r="O19" s="134">
        <f>SUM(C19:N19)</f>
        <v>1377872.4959999998</v>
      </c>
    </row>
    <row r="20" spans="2:15" ht="15" x14ac:dyDescent="0.25">
      <c r="B20" s="274" t="s">
        <v>473</v>
      </c>
      <c r="C20" s="82"/>
      <c r="D20" s="82"/>
      <c r="E20" s="82"/>
      <c r="F20" s="82"/>
      <c r="G20" s="82"/>
      <c r="H20" s="82"/>
      <c r="I20" s="82"/>
      <c r="J20" s="82"/>
      <c r="K20" s="82"/>
      <c r="L20" s="82"/>
      <c r="M20" s="82"/>
      <c r="N20" s="82"/>
      <c r="O20" s="82"/>
    </row>
    <row r="21" spans="2:15" outlineLevel="1" x14ac:dyDescent="0.2">
      <c r="B21" s="721" t="s">
        <v>427</v>
      </c>
      <c r="C21" s="276">
        <v>653.35</v>
      </c>
      <c r="D21" s="79">
        <f t="shared" ref="D21:N21" si="21">+C21*(1+D23)</f>
        <v>653.35</v>
      </c>
      <c r="E21" s="79">
        <f t="shared" si="21"/>
        <v>653.35</v>
      </c>
      <c r="F21" s="79">
        <f t="shared" si="21"/>
        <v>653.35</v>
      </c>
      <c r="G21" s="79">
        <f t="shared" si="21"/>
        <v>653.35</v>
      </c>
      <c r="H21" s="79">
        <f t="shared" si="21"/>
        <v>653.35</v>
      </c>
      <c r="I21" s="79">
        <f t="shared" si="21"/>
        <v>653.35</v>
      </c>
      <c r="J21" s="79">
        <f t="shared" si="21"/>
        <v>653.35</v>
      </c>
      <c r="K21" s="79">
        <f t="shared" si="21"/>
        <v>653.35</v>
      </c>
      <c r="L21" s="79">
        <f t="shared" si="21"/>
        <v>653.35</v>
      </c>
      <c r="M21" s="79">
        <f t="shared" si="21"/>
        <v>653.35</v>
      </c>
      <c r="N21" s="79">
        <f t="shared" si="21"/>
        <v>653.35</v>
      </c>
      <c r="O21" s="79">
        <f>SUM(C21:N21)</f>
        <v>7840.2000000000016</v>
      </c>
    </row>
    <row r="22" spans="2:15" outlineLevel="1" x14ac:dyDescent="0.2">
      <c r="B22" s="722"/>
      <c r="C22" s="171"/>
      <c r="D22" s="32"/>
      <c r="E22" s="32"/>
      <c r="F22" s="32"/>
      <c r="G22" s="32"/>
      <c r="H22" s="32"/>
      <c r="I22" s="32"/>
      <c r="J22" s="32"/>
      <c r="K22" s="32"/>
      <c r="L22" s="32"/>
      <c r="M22" s="32"/>
      <c r="N22" s="32"/>
      <c r="O22" s="82"/>
    </row>
    <row r="23" spans="2:15" outlineLevel="1" x14ac:dyDescent="0.2">
      <c r="B23" s="722" t="s">
        <v>282</v>
      </c>
      <c r="C23" s="277"/>
      <c r="D23" s="275"/>
      <c r="E23" s="275"/>
      <c r="F23" s="275"/>
      <c r="G23" s="275"/>
      <c r="H23" s="275"/>
      <c r="I23" s="275"/>
      <c r="J23" s="275"/>
      <c r="K23" s="275"/>
      <c r="L23" s="275"/>
      <c r="M23" s="275"/>
      <c r="N23" s="275"/>
      <c r="O23" s="275"/>
    </row>
    <row r="24" spans="2:15" outlineLevel="1" x14ac:dyDescent="0.2">
      <c r="B24" s="722" t="s">
        <v>249</v>
      </c>
      <c r="C24" s="276">
        <v>889.54</v>
      </c>
      <c r="D24" s="79">
        <f>+C24*(1+D26)</f>
        <v>889.54</v>
      </c>
      <c r="E24" s="79">
        <f t="shared" ref="E24:M24" si="22">+D24*(1+E26)</f>
        <v>889.54</v>
      </c>
      <c r="F24" s="79">
        <f t="shared" si="22"/>
        <v>889.54</v>
      </c>
      <c r="G24" s="79">
        <f t="shared" si="22"/>
        <v>889.54</v>
      </c>
      <c r="H24" s="79">
        <f t="shared" si="22"/>
        <v>889.54</v>
      </c>
      <c r="I24" s="79">
        <f t="shared" si="22"/>
        <v>889.54</v>
      </c>
      <c r="J24" s="79">
        <f t="shared" si="22"/>
        <v>889.54</v>
      </c>
      <c r="K24" s="79">
        <f t="shared" si="22"/>
        <v>889.54</v>
      </c>
      <c r="L24" s="79">
        <f t="shared" si="22"/>
        <v>889.54</v>
      </c>
      <c r="M24" s="79">
        <f t="shared" si="22"/>
        <v>889.54</v>
      </c>
      <c r="N24" s="79">
        <f>+M24*(1+N26)</f>
        <v>889.54</v>
      </c>
      <c r="O24" s="79">
        <f>+N24</f>
        <v>889.54</v>
      </c>
    </row>
    <row r="25" spans="2:15" outlineLevel="1" x14ac:dyDescent="0.2">
      <c r="B25" s="722"/>
      <c r="C25" s="32"/>
      <c r="D25" s="32"/>
      <c r="E25" s="32"/>
      <c r="F25" s="32"/>
      <c r="G25" s="32"/>
      <c r="H25" s="32"/>
      <c r="I25" s="32"/>
      <c r="J25" s="32"/>
      <c r="K25" s="32"/>
      <c r="L25" s="32"/>
      <c r="M25" s="32"/>
      <c r="N25" s="32"/>
      <c r="O25" s="82"/>
    </row>
    <row r="26" spans="2:15" outlineLevel="1" x14ac:dyDescent="0.2">
      <c r="B26" s="722" t="s">
        <v>282</v>
      </c>
      <c r="C26" s="80"/>
      <c r="D26" s="275">
        <v>0</v>
      </c>
      <c r="E26" s="275">
        <v>0</v>
      </c>
      <c r="F26" s="275">
        <v>0</v>
      </c>
      <c r="G26" s="275">
        <v>0</v>
      </c>
      <c r="H26" s="275">
        <v>0</v>
      </c>
      <c r="I26" s="275">
        <v>0</v>
      </c>
      <c r="J26" s="275">
        <v>0</v>
      </c>
      <c r="K26" s="275">
        <v>0</v>
      </c>
      <c r="L26" s="275">
        <v>0</v>
      </c>
      <c r="M26" s="275">
        <v>0</v>
      </c>
      <c r="N26" s="275">
        <v>0</v>
      </c>
      <c r="O26" s="186"/>
    </row>
    <row r="27" spans="2:15" ht="15" customHeight="1" outlineLevel="1" x14ac:dyDescent="0.2">
      <c r="B27" s="722" t="s">
        <v>1</v>
      </c>
      <c r="C27" s="134">
        <f>+C24*C21</f>
        <v>581180.95900000003</v>
      </c>
      <c r="D27" s="134">
        <f t="shared" ref="D27:N27" si="23">+D24*D21</f>
        <v>581180.95900000003</v>
      </c>
      <c r="E27" s="134">
        <f t="shared" si="23"/>
        <v>581180.95900000003</v>
      </c>
      <c r="F27" s="134">
        <f t="shared" si="23"/>
        <v>581180.95900000003</v>
      </c>
      <c r="G27" s="134">
        <f t="shared" si="23"/>
        <v>581180.95900000003</v>
      </c>
      <c r="H27" s="134">
        <f t="shared" si="23"/>
        <v>581180.95900000003</v>
      </c>
      <c r="I27" s="134">
        <f t="shared" si="23"/>
        <v>581180.95900000003</v>
      </c>
      <c r="J27" s="134">
        <f t="shared" si="23"/>
        <v>581180.95900000003</v>
      </c>
      <c r="K27" s="134">
        <f t="shared" si="23"/>
        <v>581180.95900000003</v>
      </c>
      <c r="L27" s="134">
        <f t="shared" si="23"/>
        <v>581180.95900000003</v>
      </c>
      <c r="M27" s="134">
        <f t="shared" si="23"/>
        <v>581180.95900000003</v>
      </c>
      <c r="N27" s="134">
        <f t="shared" si="23"/>
        <v>581180.95900000003</v>
      </c>
      <c r="O27" s="134">
        <f>SUM(C27:N27)</f>
        <v>6974171.5079999985</v>
      </c>
    </row>
    <row r="28" spans="2:15" ht="15" x14ac:dyDescent="0.25">
      <c r="B28" s="274" t="s">
        <v>474</v>
      </c>
      <c r="C28" s="82"/>
      <c r="D28" s="82"/>
      <c r="E28" s="82"/>
      <c r="F28" s="82"/>
      <c r="G28" s="82"/>
      <c r="H28" s="82"/>
      <c r="I28" s="82"/>
      <c r="J28" s="82"/>
      <c r="K28" s="82"/>
      <c r="L28" s="82"/>
      <c r="M28" s="82"/>
      <c r="N28" s="82"/>
      <c r="O28" s="82"/>
    </row>
    <row r="29" spans="2:15" outlineLevel="1" x14ac:dyDescent="0.2">
      <c r="B29" s="721" t="s">
        <v>283</v>
      </c>
      <c r="C29" s="186">
        <v>31.46</v>
      </c>
      <c r="D29" s="79">
        <f>+C29*(1+D31)</f>
        <v>31.46</v>
      </c>
      <c r="E29" s="79">
        <f t="shared" ref="E29:M29" si="24">+D29*(1+E31)</f>
        <v>31.46</v>
      </c>
      <c r="F29" s="79">
        <f t="shared" si="24"/>
        <v>31.46</v>
      </c>
      <c r="G29" s="79">
        <f t="shared" si="24"/>
        <v>31.46</v>
      </c>
      <c r="H29" s="79">
        <f t="shared" si="24"/>
        <v>31.46</v>
      </c>
      <c r="I29" s="79">
        <f t="shared" si="24"/>
        <v>31.46</v>
      </c>
      <c r="J29" s="79">
        <f t="shared" si="24"/>
        <v>31.46</v>
      </c>
      <c r="K29" s="79">
        <f t="shared" si="24"/>
        <v>31.46</v>
      </c>
      <c r="L29" s="79">
        <f t="shared" si="24"/>
        <v>31.46</v>
      </c>
      <c r="M29" s="79">
        <f t="shared" si="24"/>
        <v>31.46</v>
      </c>
      <c r="N29" s="79">
        <f>+M29*(1+N31)</f>
        <v>31.46</v>
      </c>
      <c r="O29" s="79">
        <f>SUM(C29:N29)</f>
        <v>377.52</v>
      </c>
    </row>
    <row r="30" spans="2:15" outlineLevel="1" x14ac:dyDescent="0.2">
      <c r="B30" s="722"/>
      <c r="C30" s="32"/>
      <c r="D30" s="32"/>
      <c r="E30" s="32"/>
      <c r="F30" s="32"/>
      <c r="G30" s="32"/>
      <c r="H30" s="32"/>
      <c r="I30" s="32"/>
      <c r="J30" s="32"/>
      <c r="K30" s="32"/>
      <c r="L30" s="32"/>
      <c r="M30" s="32"/>
      <c r="N30" s="32"/>
      <c r="O30" s="82"/>
    </row>
    <row r="31" spans="2:15" outlineLevel="1" x14ac:dyDescent="0.2">
      <c r="B31" s="722" t="s">
        <v>282</v>
      </c>
      <c r="C31" s="80"/>
      <c r="D31" s="275"/>
      <c r="E31" s="275"/>
      <c r="F31" s="275"/>
      <c r="G31" s="275"/>
      <c r="H31" s="275"/>
      <c r="I31" s="275"/>
      <c r="J31" s="275"/>
      <c r="K31" s="275"/>
      <c r="L31" s="275"/>
      <c r="M31" s="275"/>
      <c r="N31" s="275"/>
      <c r="O31" s="275"/>
    </row>
    <row r="32" spans="2:15" outlineLevel="1" x14ac:dyDescent="0.2">
      <c r="B32" s="722" t="s">
        <v>249</v>
      </c>
      <c r="C32" s="186">
        <v>3078</v>
      </c>
      <c r="D32" s="79">
        <f>+C32*(1+D34)</f>
        <v>3078</v>
      </c>
      <c r="E32" s="79">
        <f t="shared" ref="E32:M32" si="25">+D32*(1+E34)</f>
        <v>3078</v>
      </c>
      <c r="F32" s="79">
        <f t="shared" si="25"/>
        <v>3078</v>
      </c>
      <c r="G32" s="79">
        <f t="shared" si="25"/>
        <v>3078</v>
      </c>
      <c r="H32" s="79">
        <f t="shared" si="25"/>
        <v>3078</v>
      </c>
      <c r="I32" s="79">
        <f t="shared" si="25"/>
        <v>3078</v>
      </c>
      <c r="J32" s="79">
        <f t="shared" si="25"/>
        <v>3078</v>
      </c>
      <c r="K32" s="79">
        <f t="shared" si="25"/>
        <v>3078</v>
      </c>
      <c r="L32" s="79">
        <f t="shared" si="25"/>
        <v>3078</v>
      </c>
      <c r="M32" s="79">
        <f t="shared" si="25"/>
        <v>3078</v>
      </c>
      <c r="N32" s="79">
        <f>+M32*(1+N34)</f>
        <v>3078</v>
      </c>
      <c r="O32" s="79">
        <f>+N32</f>
        <v>3078</v>
      </c>
    </row>
    <row r="33" spans="2:15" outlineLevel="1" x14ac:dyDescent="0.2">
      <c r="B33" s="722"/>
      <c r="C33" s="32"/>
      <c r="D33" s="32"/>
      <c r="E33" s="32"/>
      <c r="F33" s="32"/>
      <c r="G33" s="32"/>
      <c r="H33" s="32"/>
      <c r="I33" s="32"/>
      <c r="J33" s="32"/>
      <c r="K33" s="32"/>
      <c r="L33" s="32"/>
      <c r="M33" s="32"/>
      <c r="N33" s="32"/>
      <c r="O33" s="82"/>
    </row>
    <row r="34" spans="2:15" outlineLevel="1" x14ac:dyDescent="0.2">
      <c r="B34" s="722" t="s">
        <v>282</v>
      </c>
      <c r="C34" s="80"/>
      <c r="D34" s="275">
        <v>0</v>
      </c>
      <c r="E34" s="275">
        <v>0</v>
      </c>
      <c r="F34" s="275">
        <v>0</v>
      </c>
      <c r="G34" s="275">
        <v>0</v>
      </c>
      <c r="H34" s="275">
        <v>0</v>
      </c>
      <c r="I34" s="275">
        <v>0</v>
      </c>
      <c r="J34" s="275">
        <v>0</v>
      </c>
      <c r="K34" s="275">
        <v>0</v>
      </c>
      <c r="L34" s="275">
        <v>0</v>
      </c>
      <c r="M34" s="275">
        <v>0</v>
      </c>
      <c r="N34" s="275">
        <v>0</v>
      </c>
      <c r="O34" s="186"/>
    </row>
    <row r="35" spans="2:15" outlineLevel="1" x14ac:dyDescent="0.2">
      <c r="B35" s="722" t="s">
        <v>1</v>
      </c>
      <c r="C35" s="134">
        <f t="shared" ref="C35:N35" si="26">+C32*C29</f>
        <v>96833.88</v>
      </c>
      <c r="D35" s="134">
        <f t="shared" si="26"/>
        <v>96833.88</v>
      </c>
      <c r="E35" s="134">
        <f t="shared" si="26"/>
        <v>96833.88</v>
      </c>
      <c r="F35" s="134">
        <f t="shared" si="26"/>
        <v>96833.88</v>
      </c>
      <c r="G35" s="134">
        <f t="shared" si="26"/>
        <v>96833.88</v>
      </c>
      <c r="H35" s="134">
        <f t="shared" si="26"/>
        <v>96833.88</v>
      </c>
      <c r="I35" s="134">
        <f t="shared" si="26"/>
        <v>96833.88</v>
      </c>
      <c r="J35" s="134">
        <f t="shared" si="26"/>
        <v>96833.88</v>
      </c>
      <c r="K35" s="134">
        <f t="shared" si="26"/>
        <v>96833.88</v>
      </c>
      <c r="L35" s="134">
        <f t="shared" si="26"/>
        <v>96833.88</v>
      </c>
      <c r="M35" s="134">
        <f t="shared" si="26"/>
        <v>96833.88</v>
      </c>
      <c r="N35" s="134">
        <f t="shared" si="26"/>
        <v>96833.88</v>
      </c>
      <c r="O35" s="134">
        <f>SUM(C35:N35)</f>
        <v>1162006.56</v>
      </c>
    </row>
    <row r="36" spans="2:15" ht="15" x14ac:dyDescent="0.25">
      <c r="B36" s="274" t="s">
        <v>475</v>
      </c>
      <c r="C36" s="82"/>
      <c r="D36" s="82"/>
      <c r="E36" s="82"/>
      <c r="F36" s="82"/>
      <c r="G36" s="82"/>
      <c r="H36" s="82"/>
      <c r="I36" s="82"/>
      <c r="J36" s="82"/>
      <c r="K36" s="82"/>
      <c r="L36" s="82"/>
      <c r="M36" s="82"/>
      <c r="N36" s="82"/>
      <c r="O36" s="82"/>
    </row>
    <row r="37" spans="2:15" outlineLevel="1" x14ac:dyDescent="0.2">
      <c r="B37" s="721" t="s">
        <v>283</v>
      </c>
      <c r="C37" s="186">
        <v>33.880000000000003</v>
      </c>
      <c r="D37" s="79">
        <f>+C37*(1+D39)</f>
        <v>33.880000000000003</v>
      </c>
      <c r="E37" s="79">
        <f t="shared" ref="E37:M37" si="27">+D37*(1+E39)</f>
        <v>33.880000000000003</v>
      </c>
      <c r="F37" s="79">
        <f t="shared" si="27"/>
        <v>33.880000000000003</v>
      </c>
      <c r="G37" s="79">
        <f t="shared" si="27"/>
        <v>33.880000000000003</v>
      </c>
      <c r="H37" s="79">
        <f t="shared" si="27"/>
        <v>33.880000000000003</v>
      </c>
      <c r="I37" s="79">
        <f t="shared" si="27"/>
        <v>33.880000000000003</v>
      </c>
      <c r="J37" s="79">
        <f t="shared" si="27"/>
        <v>33.880000000000003</v>
      </c>
      <c r="K37" s="79">
        <f t="shared" si="27"/>
        <v>33.880000000000003</v>
      </c>
      <c r="L37" s="79">
        <f t="shared" si="27"/>
        <v>33.880000000000003</v>
      </c>
      <c r="M37" s="79">
        <f t="shared" si="27"/>
        <v>33.880000000000003</v>
      </c>
      <c r="N37" s="79">
        <f>+M37*(1+N39)</f>
        <v>33.880000000000003</v>
      </c>
      <c r="O37" s="79">
        <f>SUM(C37:N37)</f>
        <v>406.56</v>
      </c>
    </row>
    <row r="38" spans="2:15" outlineLevel="1" x14ac:dyDescent="0.2">
      <c r="B38" s="722"/>
      <c r="C38" s="32"/>
      <c r="D38" s="32"/>
      <c r="E38" s="32"/>
      <c r="F38" s="32"/>
      <c r="G38" s="32"/>
      <c r="H38" s="32"/>
      <c r="I38" s="32"/>
      <c r="J38" s="32"/>
      <c r="K38" s="32"/>
      <c r="L38" s="32"/>
      <c r="M38" s="32"/>
      <c r="N38" s="32"/>
      <c r="O38" s="82"/>
    </row>
    <row r="39" spans="2:15" outlineLevel="1" x14ac:dyDescent="0.2">
      <c r="B39" s="722" t="s">
        <v>282</v>
      </c>
      <c r="C39" s="80"/>
      <c r="D39" s="275"/>
      <c r="E39" s="275"/>
      <c r="F39" s="275"/>
      <c r="G39" s="275"/>
      <c r="H39" s="275"/>
      <c r="I39" s="275"/>
      <c r="J39" s="275"/>
      <c r="K39" s="275"/>
      <c r="L39" s="275"/>
      <c r="M39" s="275"/>
      <c r="N39" s="275"/>
      <c r="O39" s="275"/>
    </row>
    <row r="40" spans="2:15" outlineLevel="1" x14ac:dyDescent="0.2">
      <c r="B40" s="722" t="s">
        <v>249</v>
      </c>
      <c r="C40" s="132">
        <v>6156</v>
      </c>
      <c r="D40" s="79">
        <f>+C40*(1+D42)</f>
        <v>6156</v>
      </c>
      <c r="E40" s="79">
        <f t="shared" ref="E40:M40" si="28">+D40*(1+E42)</f>
        <v>6156</v>
      </c>
      <c r="F40" s="79">
        <f t="shared" si="28"/>
        <v>6156</v>
      </c>
      <c r="G40" s="79">
        <f t="shared" si="28"/>
        <v>6156</v>
      </c>
      <c r="H40" s="79">
        <f t="shared" si="28"/>
        <v>6156</v>
      </c>
      <c r="I40" s="79">
        <f t="shared" si="28"/>
        <v>6156</v>
      </c>
      <c r="J40" s="79">
        <f t="shared" si="28"/>
        <v>6156</v>
      </c>
      <c r="K40" s="79">
        <f t="shared" si="28"/>
        <v>6156</v>
      </c>
      <c r="L40" s="79">
        <f t="shared" si="28"/>
        <v>6156</v>
      </c>
      <c r="M40" s="79">
        <f t="shared" si="28"/>
        <v>6156</v>
      </c>
      <c r="N40" s="79">
        <f>+M40*(1+N42)</f>
        <v>6156</v>
      </c>
      <c r="O40" s="79">
        <f>+N40</f>
        <v>6156</v>
      </c>
    </row>
    <row r="41" spans="2:15" outlineLevel="1" x14ac:dyDescent="0.2">
      <c r="B41" s="722"/>
      <c r="C41" s="32"/>
      <c r="D41" s="32"/>
      <c r="E41" s="32"/>
      <c r="F41" s="32"/>
      <c r="G41" s="32"/>
      <c r="H41" s="32"/>
      <c r="I41" s="32"/>
      <c r="J41" s="32"/>
      <c r="K41" s="32"/>
      <c r="L41" s="32"/>
      <c r="M41" s="32"/>
      <c r="N41" s="32"/>
      <c r="O41" s="82"/>
    </row>
    <row r="42" spans="2:15" outlineLevel="1" x14ac:dyDescent="0.2">
      <c r="B42" s="722" t="s">
        <v>282</v>
      </c>
      <c r="C42" s="80"/>
      <c r="D42" s="275">
        <v>0</v>
      </c>
      <c r="E42" s="275">
        <v>0</v>
      </c>
      <c r="F42" s="275">
        <v>0</v>
      </c>
      <c r="G42" s="275">
        <v>0</v>
      </c>
      <c r="H42" s="275">
        <v>0</v>
      </c>
      <c r="I42" s="275">
        <v>0</v>
      </c>
      <c r="J42" s="275">
        <v>0</v>
      </c>
      <c r="K42" s="275">
        <v>0</v>
      </c>
      <c r="L42" s="275">
        <v>0</v>
      </c>
      <c r="M42" s="275">
        <v>0</v>
      </c>
      <c r="N42" s="275">
        <v>0</v>
      </c>
      <c r="O42" s="186"/>
    </row>
    <row r="43" spans="2:15" outlineLevel="1" x14ac:dyDescent="0.2">
      <c r="B43" s="722" t="s">
        <v>1</v>
      </c>
      <c r="C43" s="134">
        <f t="shared" ref="C43:N43" si="29">+C40*C37</f>
        <v>208565.28000000003</v>
      </c>
      <c r="D43" s="134">
        <f t="shared" si="29"/>
        <v>208565.28000000003</v>
      </c>
      <c r="E43" s="134">
        <f t="shared" si="29"/>
        <v>208565.28000000003</v>
      </c>
      <c r="F43" s="134">
        <f t="shared" si="29"/>
        <v>208565.28000000003</v>
      </c>
      <c r="G43" s="134">
        <f t="shared" si="29"/>
        <v>208565.28000000003</v>
      </c>
      <c r="H43" s="134">
        <f t="shared" si="29"/>
        <v>208565.28000000003</v>
      </c>
      <c r="I43" s="134">
        <f t="shared" si="29"/>
        <v>208565.28000000003</v>
      </c>
      <c r="J43" s="134">
        <f t="shared" si="29"/>
        <v>208565.28000000003</v>
      </c>
      <c r="K43" s="134">
        <f t="shared" si="29"/>
        <v>208565.28000000003</v>
      </c>
      <c r="L43" s="134">
        <f t="shared" si="29"/>
        <v>208565.28000000003</v>
      </c>
      <c r="M43" s="134">
        <f t="shared" si="29"/>
        <v>208565.28000000003</v>
      </c>
      <c r="N43" s="134">
        <f t="shared" si="29"/>
        <v>208565.28000000003</v>
      </c>
      <c r="O43" s="134">
        <f>SUM(C43:N43)</f>
        <v>2502783.3600000003</v>
      </c>
    </row>
    <row r="44" spans="2:15" ht="15" x14ac:dyDescent="0.25">
      <c r="B44" s="274" t="s">
        <v>476</v>
      </c>
      <c r="C44" s="82"/>
      <c r="D44" s="82"/>
      <c r="E44" s="82"/>
      <c r="F44" s="82"/>
      <c r="G44" s="82"/>
      <c r="H44" s="82"/>
      <c r="I44" s="82"/>
      <c r="J44" s="82"/>
      <c r="K44" s="82"/>
      <c r="L44" s="82"/>
      <c r="M44" s="82"/>
      <c r="N44" s="82"/>
      <c r="O44" s="82"/>
    </row>
    <row r="45" spans="2:15" outlineLevel="1" x14ac:dyDescent="0.2">
      <c r="B45" s="721" t="s">
        <v>425</v>
      </c>
      <c r="C45" s="186">
        <v>31.94</v>
      </c>
      <c r="D45" s="79">
        <f>+C45*(1+D47)</f>
        <v>31.94</v>
      </c>
      <c r="E45" s="79">
        <f>+D45*(1+E47)</f>
        <v>31.94</v>
      </c>
      <c r="F45" s="79">
        <f>+E45*(1+F47)</f>
        <v>31.94</v>
      </c>
      <c r="G45" s="79">
        <f>+F45*(1+G47)</f>
        <v>31.94</v>
      </c>
      <c r="H45" s="79">
        <f>+G45*(1+H47)</f>
        <v>31.94</v>
      </c>
      <c r="I45" s="79">
        <f t="shared" ref="I45" si="30">+H45*(1+I47)</f>
        <v>31.94</v>
      </c>
      <c r="J45" s="79">
        <f t="shared" ref="J45" si="31">+I45*(1+J47)</f>
        <v>31.94</v>
      </c>
      <c r="K45" s="79">
        <f t="shared" ref="K45" si="32">+J45*(1+K47)</f>
        <v>31.94</v>
      </c>
      <c r="L45" s="79">
        <f t="shared" ref="L45" si="33">+K45*(1+L47)</f>
        <v>31.94</v>
      </c>
      <c r="M45" s="79">
        <f t="shared" ref="M45" si="34">+L45*(1+M47)</f>
        <v>31.94</v>
      </c>
      <c r="N45" s="79">
        <f t="shared" ref="N45" si="35">+M45*(1+N47)</f>
        <v>31.94</v>
      </c>
      <c r="O45" s="79">
        <f>SUM(C45:N45)</f>
        <v>383.28000000000003</v>
      </c>
    </row>
    <row r="46" spans="2:15" outlineLevel="1" x14ac:dyDescent="0.2">
      <c r="B46" s="722"/>
      <c r="C46" s="32"/>
      <c r="D46" s="32"/>
      <c r="E46" s="32"/>
      <c r="F46" s="32"/>
      <c r="G46" s="32"/>
      <c r="H46" s="32"/>
      <c r="I46" s="32"/>
      <c r="J46" s="32"/>
      <c r="K46" s="32"/>
      <c r="L46" s="32"/>
      <c r="M46" s="32"/>
      <c r="N46" s="32"/>
      <c r="O46" s="82"/>
    </row>
    <row r="47" spans="2:15" outlineLevel="1" x14ac:dyDescent="0.2">
      <c r="B47" s="722" t="s">
        <v>282</v>
      </c>
      <c r="C47" s="80"/>
      <c r="D47" s="275"/>
      <c r="E47" s="275"/>
      <c r="F47" s="275"/>
      <c r="G47" s="275"/>
      <c r="H47" s="275"/>
      <c r="I47" s="275"/>
      <c r="J47" s="275"/>
      <c r="K47" s="275"/>
      <c r="L47" s="275"/>
      <c r="M47" s="275"/>
      <c r="N47" s="275"/>
      <c r="O47" s="275"/>
    </row>
    <row r="48" spans="2:15" outlineLevel="1" x14ac:dyDescent="0.2">
      <c r="B48" s="722" t="s">
        <v>249</v>
      </c>
      <c r="C48" s="186">
        <v>7010.66</v>
      </c>
      <c r="D48" s="79">
        <f>+C48*(1+D50)</f>
        <v>7010.66</v>
      </c>
      <c r="E48" s="79">
        <f t="shared" ref="E48" si="36">+D48*(1+E50)</f>
        <v>7010.66</v>
      </c>
      <c r="F48" s="79">
        <f t="shared" ref="F48" si="37">+E48*(1+F50)</f>
        <v>7010.66</v>
      </c>
      <c r="G48" s="79">
        <f t="shared" ref="G48" si="38">+F48*(1+G50)</f>
        <v>7010.66</v>
      </c>
      <c r="H48" s="79">
        <f t="shared" ref="H48" si="39">+G48*(1+H50)</f>
        <v>7010.66</v>
      </c>
      <c r="I48" s="79">
        <f t="shared" ref="I48" si="40">+H48*(1+I50)</f>
        <v>7010.66</v>
      </c>
      <c r="J48" s="79">
        <f t="shared" ref="J48" si="41">+I48*(1+J50)</f>
        <v>7010.66</v>
      </c>
      <c r="K48" s="79">
        <f t="shared" ref="K48" si="42">+J48*(1+K50)</f>
        <v>7010.66</v>
      </c>
      <c r="L48" s="79">
        <f t="shared" ref="L48" si="43">+K48*(1+L50)</f>
        <v>7010.66</v>
      </c>
      <c r="M48" s="79">
        <f t="shared" ref="M48" si="44">+L48*(1+M50)</f>
        <v>7010.66</v>
      </c>
      <c r="N48" s="79">
        <f>+M48*(1+N50)</f>
        <v>7010.66</v>
      </c>
      <c r="O48" s="79">
        <f>+N48</f>
        <v>7010.66</v>
      </c>
    </row>
    <row r="49" spans="2:15" outlineLevel="1" x14ac:dyDescent="0.2">
      <c r="B49" s="722"/>
      <c r="C49" s="32"/>
      <c r="D49" s="32"/>
      <c r="E49" s="32"/>
      <c r="F49" s="32"/>
      <c r="G49" s="32"/>
      <c r="H49" s="32"/>
      <c r="I49" s="32"/>
      <c r="J49" s="32"/>
      <c r="K49" s="32"/>
      <c r="L49" s="32"/>
      <c r="M49" s="32"/>
      <c r="N49" s="32"/>
      <c r="O49" s="82"/>
    </row>
    <row r="50" spans="2:15" outlineLevel="1" x14ac:dyDescent="0.2">
      <c r="B50" s="722" t="s">
        <v>282</v>
      </c>
      <c r="C50" s="80"/>
      <c r="D50" s="275">
        <v>0</v>
      </c>
      <c r="E50" s="275">
        <v>0</v>
      </c>
      <c r="F50" s="275">
        <v>0</v>
      </c>
      <c r="G50" s="275">
        <v>0</v>
      </c>
      <c r="H50" s="275">
        <v>0</v>
      </c>
      <c r="I50" s="275">
        <v>0</v>
      </c>
      <c r="J50" s="275">
        <v>0</v>
      </c>
      <c r="K50" s="275">
        <v>0</v>
      </c>
      <c r="L50" s="275">
        <v>0</v>
      </c>
      <c r="M50" s="275">
        <v>0</v>
      </c>
      <c r="N50" s="275">
        <v>0</v>
      </c>
      <c r="O50" s="186"/>
    </row>
    <row r="51" spans="2:15" outlineLevel="1" x14ac:dyDescent="0.2">
      <c r="B51" s="722" t="s">
        <v>1</v>
      </c>
      <c r="C51" s="134">
        <f t="shared" ref="C51:N51" si="45">+C48*C45</f>
        <v>223920.4804</v>
      </c>
      <c r="D51" s="134">
        <f t="shared" si="45"/>
        <v>223920.4804</v>
      </c>
      <c r="E51" s="134">
        <f t="shared" si="45"/>
        <v>223920.4804</v>
      </c>
      <c r="F51" s="134">
        <f t="shared" si="45"/>
        <v>223920.4804</v>
      </c>
      <c r="G51" s="134">
        <f t="shared" si="45"/>
        <v>223920.4804</v>
      </c>
      <c r="H51" s="134">
        <f t="shared" si="45"/>
        <v>223920.4804</v>
      </c>
      <c r="I51" s="134">
        <f t="shared" si="45"/>
        <v>223920.4804</v>
      </c>
      <c r="J51" s="134">
        <f t="shared" si="45"/>
        <v>223920.4804</v>
      </c>
      <c r="K51" s="134">
        <f t="shared" si="45"/>
        <v>223920.4804</v>
      </c>
      <c r="L51" s="134">
        <f t="shared" si="45"/>
        <v>223920.4804</v>
      </c>
      <c r="M51" s="134">
        <f t="shared" si="45"/>
        <v>223920.4804</v>
      </c>
      <c r="N51" s="134">
        <f t="shared" si="45"/>
        <v>223920.4804</v>
      </c>
      <c r="O51" s="134">
        <f>SUM(C51:N51)</f>
        <v>2687045.7648</v>
      </c>
    </row>
    <row r="52" spans="2:15" ht="15" x14ac:dyDescent="0.25">
      <c r="B52" s="274" t="s">
        <v>517</v>
      </c>
      <c r="C52" s="82"/>
      <c r="D52" s="82"/>
      <c r="E52" s="82"/>
      <c r="F52" s="82"/>
      <c r="G52" s="82"/>
      <c r="H52" s="82"/>
      <c r="I52" s="82"/>
      <c r="J52" s="82"/>
      <c r="K52" s="82"/>
      <c r="L52" s="82"/>
      <c r="M52" s="82"/>
      <c r="N52" s="82"/>
      <c r="O52" s="82"/>
    </row>
    <row r="53" spans="2:15" outlineLevel="1" x14ac:dyDescent="0.2">
      <c r="B53" s="721" t="s">
        <v>425</v>
      </c>
      <c r="C53" s="186">
        <v>130.66999999999999</v>
      </c>
      <c r="D53" s="79">
        <f>+C53*(1+D55)</f>
        <v>130.66999999999999</v>
      </c>
      <c r="E53" s="79">
        <f>+D53*(1+E55)</f>
        <v>130.66999999999999</v>
      </c>
      <c r="F53" s="79">
        <f>+E53*(1+F55)</f>
        <v>130.66999999999999</v>
      </c>
      <c r="G53" s="79">
        <f>+F53*(1+G55)</f>
        <v>130.66999999999999</v>
      </c>
      <c r="H53" s="79">
        <f>+G53*(1+H55)</f>
        <v>130.66999999999999</v>
      </c>
      <c r="I53" s="79">
        <f t="shared" ref="I53:N53" si="46">+H53*(1+I55)</f>
        <v>130.66999999999999</v>
      </c>
      <c r="J53" s="79">
        <f t="shared" si="46"/>
        <v>130.66999999999999</v>
      </c>
      <c r="K53" s="79">
        <f t="shared" si="46"/>
        <v>130.66999999999999</v>
      </c>
      <c r="L53" s="79">
        <f t="shared" si="46"/>
        <v>130.66999999999999</v>
      </c>
      <c r="M53" s="79">
        <f t="shared" si="46"/>
        <v>130.66999999999999</v>
      </c>
      <c r="N53" s="79">
        <f t="shared" si="46"/>
        <v>130.66999999999999</v>
      </c>
      <c r="O53" s="79">
        <f>SUM(C53:N53)</f>
        <v>1568.0400000000002</v>
      </c>
    </row>
    <row r="54" spans="2:15" outlineLevel="1" x14ac:dyDescent="0.2">
      <c r="B54" s="722"/>
      <c r="C54" s="32"/>
      <c r="D54" s="32"/>
      <c r="E54" s="32"/>
      <c r="F54" s="32"/>
      <c r="G54" s="32"/>
      <c r="H54" s="32"/>
      <c r="I54" s="32"/>
      <c r="J54" s="32"/>
      <c r="K54" s="32"/>
      <c r="L54" s="32"/>
      <c r="M54" s="32"/>
      <c r="N54" s="32"/>
      <c r="O54" s="82"/>
    </row>
    <row r="55" spans="2:15" outlineLevel="1" x14ac:dyDescent="0.2">
      <c r="B55" s="722" t="s">
        <v>282</v>
      </c>
      <c r="C55" s="80"/>
      <c r="D55" s="275"/>
      <c r="E55" s="275"/>
      <c r="F55" s="275"/>
      <c r="G55" s="275"/>
      <c r="H55" s="275"/>
      <c r="I55" s="275"/>
      <c r="J55" s="275"/>
      <c r="K55" s="275"/>
      <c r="L55" s="275"/>
      <c r="M55" s="275"/>
      <c r="N55" s="275"/>
      <c r="O55" s="275"/>
    </row>
    <row r="56" spans="2:15" outlineLevel="1" x14ac:dyDescent="0.2">
      <c r="B56" s="722" t="s">
        <v>249</v>
      </c>
      <c r="C56" s="186">
        <v>889.54</v>
      </c>
      <c r="D56" s="79">
        <f>+C56*(1+D58)</f>
        <v>889.54</v>
      </c>
      <c r="E56" s="79">
        <f t="shared" ref="E56:M56" si="47">+D56*(1+E58)</f>
        <v>889.54</v>
      </c>
      <c r="F56" s="79">
        <f t="shared" si="47"/>
        <v>889.54</v>
      </c>
      <c r="G56" s="79">
        <f t="shared" si="47"/>
        <v>889.54</v>
      </c>
      <c r="H56" s="79">
        <f t="shared" si="47"/>
        <v>889.54</v>
      </c>
      <c r="I56" s="79">
        <f t="shared" si="47"/>
        <v>889.54</v>
      </c>
      <c r="J56" s="79">
        <f t="shared" si="47"/>
        <v>889.54</v>
      </c>
      <c r="K56" s="79">
        <f t="shared" si="47"/>
        <v>889.54</v>
      </c>
      <c r="L56" s="79">
        <f t="shared" si="47"/>
        <v>889.54</v>
      </c>
      <c r="M56" s="79">
        <f t="shared" si="47"/>
        <v>889.54</v>
      </c>
      <c r="N56" s="79">
        <f>+M56*(1+N58)</f>
        <v>889.54</v>
      </c>
      <c r="O56" s="79">
        <f>+N56</f>
        <v>889.54</v>
      </c>
    </row>
    <row r="57" spans="2:15" outlineLevel="1" x14ac:dyDescent="0.2">
      <c r="B57" s="722"/>
      <c r="C57" s="32"/>
      <c r="D57" s="32"/>
      <c r="E57" s="32"/>
      <c r="F57" s="32"/>
      <c r="G57" s="32"/>
      <c r="H57" s="32"/>
      <c r="I57" s="32"/>
      <c r="J57" s="32"/>
      <c r="K57" s="32"/>
      <c r="L57" s="32"/>
      <c r="M57" s="32"/>
      <c r="N57" s="32"/>
      <c r="O57" s="82"/>
    </row>
    <row r="58" spans="2:15" outlineLevel="1" x14ac:dyDescent="0.2">
      <c r="B58" s="722" t="s">
        <v>282</v>
      </c>
      <c r="C58" s="80"/>
      <c r="D58" s="275">
        <v>0</v>
      </c>
      <c r="E58" s="275">
        <v>0</v>
      </c>
      <c r="F58" s="275">
        <v>0</v>
      </c>
      <c r="G58" s="275">
        <v>0</v>
      </c>
      <c r="H58" s="275">
        <v>0</v>
      </c>
      <c r="I58" s="275">
        <v>0</v>
      </c>
      <c r="J58" s="275">
        <v>0</v>
      </c>
      <c r="K58" s="275">
        <v>0</v>
      </c>
      <c r="L58" s="275">
        <v>0</v>
      </c>
      <c r="M58" s="275">
        <v>0</v>
      </c>
      <c r="N58" s="275">
        <v>0</v>
      </c>
      <c r="O58" s="186"/>
    </row>
    <row r="59" spans="2:15" outlineLevel="1" x14ac:dyDescent="0.2">
      <c r="B59" s="722" t="s">
        <v>1</v>
      </c>
      <c r="C59" s="134">
        <f t="shared" ref="C59:N59" si="48">+C56*C53</f>
        <v>116236.19179999999</v>
      </c>
      <c r="D59" s="134">
        <f t="shared" si="48"/>
        <v>116236.19179999999</v>
      </c>
      <c r="E59" s="134">
        <f t="shared" si="48"/>
        <v>116236.19179999999</v>
      </c>
      <c r="F59" s="134">
        <f t="shared" si="48"/>
        <v>116236.19179999999</v>
      </c>
      <c r="G59" s="134">
        <f t="shared" si="48"/>
        <v>116236.19179999999</v>
      </c>
      <c r="H59" s="134">
        <f t="shared" si="48"/>
        <v>116236.19179999999</v>
      </c>
      <c r="I59" s="134">
        <f t="shared" si="48"/>
        <v>116236.19179999999</v>
      </c>
      <c r="J59" s="134">
        <f t="shared" si="48"/>
        <v>116236.19179999999</v>
      </c>
      <c r="K59" s="134">
        <f t="shared" si="48"/>
        <v>116236.19179999999</v>
      </c>
      <c r="L59" s="134">
        <f t="shared" si="48"/>
        <v>116236.19179999999</v>
      </c>
      <c r="M59" s="134">
        <f t="shared" si="48"/>
        <v>116236.19179999999</v>
      </c>
      <c r="N59" s="134">
        <f t="shared" si="48"/>
        <v>116236.19179999999</v>
      </c>
      <c r="O59" s="134">
        <f>SUM(C59:N59)</f>
        <v>1394834.3015999999</v>
      </c>
    </row>
    <row r="60" spans="2:15" ht="15" x14ac:dyDescent="0.25">
      <c r="B60" s="274" t="s">
        <v>477</v>
      </c>
      <c r="C60" s="82"/>
      <c r="D60" s="82"/>
      <c r="E60" s="82"/>
      <c r="F60" s="82"/>
      <c r="G60" s="82"/>
      <c r="H60" s="82"/>
      <c r="I60" s="82"/>
      <c r="J60" s="82"/>
      <c r="K60" s="82"/>
      <c r="L60" s="82"/>
      <c r="M60" s="82"/>
      <c r="N60" s="82"/>
      <c r="O60" s="82"/>
    </row>
    <row r="61" spans="2:15" outlineLevel="1" x14ac:dyDescent="0.2">
      <c r="B61" s="722" t="s">
        <v>283</v>
      </c>
      <c r="C61" s="186">
        <v>653.35</v>
      </c>
      <c r="D61" s="79">
        <f>+C61*(1+D63)</f>
        <v>653.35</v>
      </c>
      <c r="E61" s="79">
        <f t="shared" ref="E61:M61" si="49">+D61*(1+E63)</f>
        <v>653.35</v>
      </c>
      <c r="F61" s="79">
        <f t="shared" si="49"/>
        <v>653.35</v>
      </c>
      <c r="G61" s="79">
        <f t="shared" si="49"/>
        <v>653.35</v>
      </c>
      <c r="H61" s="79">
        <f t="shared" si="49"/>
        <v>653.35</v>
      </c>
      <c r="I61" s="79">
        <f t="shared" si="49"/>
        <v>653.35</v>
      </c>
      <c r="J61" s="79">
        <f t="shared" si="49"/>
        <v>653.35</v>
      </c>
      <c r="K61" s="79">
        <f t="shared" si="49"/>
        <v>653.35</v>
      </c>
      <c r="L61" s="79">
        <f t="shared" si="49"/>
        <v>653.35</v>
      </c>
      <c r="M61" s="79">
        <f t="shared" si="49"/>
        <v>653.35</v>
      </c>
      <c r="N61" s="79">
        <f>+M61*(1+N63)</f>
        <v>653.35</v>
      </c>
      <c r="O61" s="79">
        <f>SUM(C61:N61)</f>
        <v>7840.2000000000016</v>
      </c>
    </row>
    <row r="62" spans="2:15" outlineLevel="1" x14ac:dyDescent="0.2">
      <c r="B62" s="722"/>
      <c r="C62" s="32"/>
      <c r="D62" s="32"/>
      <c r="E62" s="32"/>
      <c r="F62" s="32"/>
      <c r="G62" s="32"/>
      <c r="H62" s="32"/>
      <c r="I62" s="32"/>
      <c r="J62" s="32"/>
      <c r="K62" s="32"/>
      <c r="L62" s="32"/>
      <c r="M62" s="32"/>
      <c r="N62" s="32"/>
      <c r="O62" s="82"/>
    </row>
    <row r="63" spans="2:15" outlineLevel="1" x14ac:dyDescent="0.2">
      <c r="B63" s="722" t="s">
        <v>282</v>
      </c>
      <c r="C63" s="80"/>
      <c r="D63" s="275"/>
      <c r="E63" s="275"/>
      <c r="F63" s="275"/>
      <c r="G63" s="275"/>
      <c r="H63" s="275"/>
      <c r="I63" s="275"/>
      <c r="J63" s="275"/>
      <c r="K63" s="275"/>
      <c r="L63" s="275"/>
      <c r="M63" s="275"/>
      <c r="N63" s="275"/>
      <c r="O63" s="186"/>
    </row>
    <row r="64" spans="2:15" outlineLevel="1" x14ac:dyDescent="0.2">
      <c r="B64" s="722" t="s">
        <v>249</v>
      </c>
      <c r="C64" s="186">
        <v>5130</v>
      </c>
      <c r="D64" s="79">
        <f>+C64*(1+D66)</f>
        <v>5130</v>
      </c>
      <c r="E64" s="79">
        <f t="shared" ref="E64:M64" si="50">+D64*(1+E66)</f>
        <v>5130</v>
      </c>
      <c r="F64" s="79">
        <f t="shared" si="50"/>
        <v>5130</v>
      </c>
      <c r="G64" s="79">
        <f t="shared" si="50"/>
        <v>5130</v>
      </c>
      <c r="H64" s="79">
        <f t="shared" si="50"/>
        <v>5130</v>
      </c>
      <c r="I64" s="79">
        <f t="shared" si="50"/>
        <v>5130</v>
      </c>
      <c r="J64" s="79">
        <f t="shared" si="50"/>
        <v>5130</v>
      </c>
      <c r="K64" s="79">
        <f t="shared" si="50"/>
        <v>5130</v>
      </c>
      <c r="L64" s="79">
        <f t="shared" si="50"/>
        <v>5130</v>
      </c>
      <c r="M64" s="79">
        <f t="shared" si="50"/>
        <v>5130</v>
      </c>
      <c r="N64" s="79">
        <f>+M64*(1+N66)</f>
        <v>5130</v>
      </c>
      <c r="O64" s="79">
        <f>+N64</f>
        <v>5130</v>
      </c>
    </row>
    <row r="65" spans="2:15" outlineLevel="1" x14ac:dyDescent="0.2">
      <c r="B65" s="722"/>
      <c r="C65" s="32"/>
      <c r="D65" s="32"/>
      <c r="E65" s="32"/>
      <c r="F65" s="32"/>
      <c r="G65" s="32"/>
      <c r="H65" s="32"/>
      <c r="I65" s="32"/>
      <c r="J65" s="32"/>
      <c r="K65" s="32"/>
      <c r="L65" s="32"/>
      <c r="M65" s="32"/>
      <c r="N65" s="32"/>
      <c r="O65" s="82"/>
    </row>
    <row r="66" spans="2:15" outlineLevel="1" x14ac:dyDescent="0.2">
      <c r="B66" s="722" t="s">
        <v>282</v>
      </c>
      <c r="C66" s="80"/>
      <c r="D66" s="275">
        <v>0</v>
      </c>
      <c r="E66" s="275">
        <v>0</v>
      </c>
      <c r="F66" s="275">
        <v>0</v>
      </c>
      <c r="G66" s="275">
        <v>0</v>
      </c>
      <c r="H66" s="275">
        <v>0</v>
      </c>
      <c r="I66" s="275">
        <v>0</v>
      </c>
      <c r="J66" s="275">
        <v>0</v>
      </c>
      <c r="K66" s="275">
        <v>0</v>
      </c>
      <c r="L66" s="275">
        <v>0</v>
      </c>
      <c r="M66" s="275">
        <v>0</v>
      </c>
      <c r="N66" s="275">
        <v>0</v>
      </c>
      <c r="O66" s="186"/>
    </row>
    <row r="67" spans="2:15" outlineLevel="1" x14ac:dyDescent="0.2">
      <c r="B67" s="722" t="s">
        <v>1</v>
      </c>
      <c r="C67" s="134">
        <f t="shared" ref="C67:N67" si="51">+C64*C61</f>
        <v>3351685.5</v>
      </c>
      <c r="D67" s="134">
        <f t="shared" si="51"/>
        <v>3351685.5</v>
      </c>
      <c r="E67" s="134">
        <f t="shared" si="51"/>
        <v>3351685.5</v>
      </c>
      <c r="F67" s="134">
        <f t="shared" si="51"/>
        <v>3351685.5</v>
      </c>
      <c r="G67" s="134">
        <f t="shared" si="51"/>
        <v>3351685.5</v>
      </c>
      <c r="H67" s="134">
        <f t="shared" si="51"/>
        <v>3351685.5</v>
      </c>
      <c r="I67" s="134">
        <f t="shared" si="51"/>
        <v>3351685.5</v>
      </c>
      <c r="J67" s="134">
        <f t="shared" si="51"/>
        <v>3351685.5</v>
      </c>
      <c r="K67" s="134">
        <f t="shared" si="51"/>
        <v>3351685.5</v>
      </c>
      <c r="L67" s="134">
        <f t="shared" si="51"/>
        <v>3351685.5</v>
      </c>
      <c r="M67" s="134">
        <f t="shared" si="51"/>
        <v>3351685.5</v>
      </c>
      <c r="N67" s="134">
        <f t="shared" si="51"/>
        <v>3351685.5</v>
      </c>
      <c r="O67" s="134">
        <f>SUM(C67:N67)</f>
        <v>40220226</v>
      </c>
    </row>
    <row r="68" spans="2:15" ht="15" x14ac:dyDescent="0.25">
      <c r="B68" s="274" t="s">
        <v>478</v>
      </c>
      <c r="C68" s="81"/>
      <c r="D68" s="81"/>
      <c r="E68" s="81"/>
      <c r="F68" s="81"/>
      <c r="G68" s="81"/>
      <c r="H68" s="81"/>
      <c r="I68" s="81"/>
      <c r="J68" s="81"/>
      <c r="K68" s="81"/>
      <c r="L68" s="81"/>
      <c r="M68" s="81"/>
      <c r="N68" s="81"/>
      <c r="O68" s="81"/>
    </row>
    <row r="69" spans="2:15" outlineLevel="1" x14ac:dyDescent="0.2">
      <c r="B69" s="722" t="s">
        <v>283</v>
      </c>
      <c r="C69" s="186">
        <v>18.149999999999999</v>
      </c>
      <c r="D69" s="79">
        <f>+C69*(1+D71)</f>
        <v>18.149999999999999</v>
      </c>
      <c r="E69" s="79">
        <f t="shared" ref="E69:M69" si="52">+D69*(1+E71)</f>
        <v>18.149999999999999</v>
      </c>
      <c r="F69" s="79">
        <f t="shared" si="52"/>
        <v>18.149999999999999</v>
      </c>
      <c r="G69" s="79">
        <f t="shared" si="52"/>
        <v>18.149999999999999</v>
      </c>
      <c r="H69" s="79">
        <f t="shared" si="52"/>
        <v>18.149999999999999</v>
      </c>
      <c r="I69" s="79">
        <f t="shared" si="52"/>
        <v>18.149999999999999</v>
      </c>
      <c r="J69" s="79">
        <f t="shared" si="52"/>
        <v>18.149999999999999</v>
      </c>
      <c r="K69" s="79">
        <f t="shared" si="52"/>
        <v>18.149999999999999</v>
      </c>
      <c r="L69" s="79">
        <f t="shared" si="52"/>
        <v>18.149999999999999</v>
      </c>
      <c r="M69" s="79">
        <f t="shared" si="52"/>
        <v>18.149999999999999</v>
      </c>
      <c r="N69" s="79">
        <f>+M69*(1+N71)</f>
        <v>18.149999999999999</v>
      </c>
      <c r="O69" s="79">
        <f>SUM(C69:N69)</f>
        <v>217.80000000000004</v>
      </c>
    </row>
    <row r="70" spans="2:15" outlineLevel="1" x14ac:dyDescent="0.2">
      <c r="B70" s="722"/>
      <c r="C70" s="32"/>
      <c r="D70" s="32"/>
      <c r="E70" s="32"/>
      <c r="F70" s="32"/>
      <c r="G70" s="32"/>
      <c r="H70" s="32"/>
      <c r="I70" s="32"/>
      <c r="J70" s="32"/>
      <c r="K70" s="32"/>
      <c r="L70" s="32"/>
      <c r="M70" s="32"/>
      <c r="N70" s="32"/>
      <c r="O70" s="82"/>
    </row>
    <row r="71" spans="2:15" outlineLevel="1" x14ac:dyDescent="0.2">
      <c r="B71" s="722" t="s">
        <v>282</v>
      </c>
      <c r="C71" s="80"/>
      <c r="D71" s="275"/>
      <c r="E71" s="275"/>
      <c r="F71" s="275"/>
      <c r="G71" s="275"/>
      <c r="H71" s="275"/>
      <c r="I71" s="275"/>
      <c r="J71" s="275"/>
      <c r="K71" s="275"/>
      <c r="L71" s="275"/>
      <c r="M71" s="275"/>
      <c r="N71" s="275"/>
      <c r="O71" s="186"/>
    </row>
    <row r="72" spans="2:15" outlineLevel="1" x14ac:dyDescent="0.2">
      <c r="B72" s="722" t="s">
        <v>249</v>
      </c>
      <c r="C72" s="186">
        <v>1607.64</v>
      </c>
      <c r="D72" s="79">
        <f>+C72*(1+D74)</f>
        <v>1607.64</v>
      </c>
      <c r="E72" s="79">
        <f t="shared" ref="E72:M72" si="53">+D72*(1+E74)</f>
        <v>1607.64</v>
      </c>
      <c r="F72" s="79">
        <f t="shared" si="53"/>
        <v>1607.64</v>
      </c>
      <c r="G72" s="79">
        <f t="shared" si="53"/>
        <v>1607.64</v>
      </c>
      <c r="H72" s="79">
        <f t="shared" si="53"/>
        <v>1607.64</v>
      </c>
      <c r="I72" s="79">
        <f t="shared" si="53"/>
        <v>1607.64</v>
      </c>
      <c r="J72" s="79">
        <f t="shared" si="53"/>
        <v>1607.64</v>
      </c>
      <c r="K72" s="79">
        <f t="shared" si="53"/>
        <v>1607.64</v>
      </c>
      <c r="L72" s="79">
        <f t="shared" si="53"/>
        <v>1607.64</v>
      </c>
      <c r="M72" s="79">
        <f t="shared" si="53"/>
        <v>1607.64</v>
      </c>
      <c r="N72" s="79">
        <f>+M72*(1+N74)</f>
        <v>1607.64</v>
      </c>
      <c r="O72" s="79">
        <f>+N72</f>
        <v>1607.64</v>
      </c>
    </row>
    <row r="73" spans="2:15" outlineLevel="1" x14ac:dyDescent="0.2">
      <c r="B73" s="722"/>
      <c r="C73" s="32"/>
      <c r="D73" s="32"/>
      <c r="E73" s="32"/>
      <c r="F73" s="32"/>
      <c r="G73" s="32"/>
      <c r="H73" s="32"/>
      <c r="I73" s="32"/>
      <c r="J73" s="32"/>
      <c r="K73" s="32"/>
      <c r="L73" s="32"/>
      <c r="M73" s="32"/>
      <c r="N73" s="32"/>
      <c r="O73" s="79"/>
    </row>
    <row r="74" spans="2:15" outlineLevel="1" x14ac:dyDescent="0.2">
      <c r="B74" s="722" t="s">
        <v>282</v>
      </c>
      <c r="C74" s="80"/>
      <c r="D74" s="275">
        <v>0</v>
      </c>
      <c r="E74" s="275">
        <v>0</v>
      </c>
      <c r="F74" s="275">
        <v>0</v>
      </c>
      <c r="G74" s="275">
        <v>0</v>
      </c>
      <c r="H74" s="275">
        <v>0</v>
      </c>
      <c r="I74" s="275">
        <v>0</v>
      </c>
      <c r="J74" s="275">
        <v>0</v>
      </c>
      <c r="K74" s="275">
        <v>0</v>
      </c>
      <c r="L74" s="275">
        <v>0</v>
      </c>
      <c r="M74" s="275">
        <v>0</v>
      </c>
      <c r="N74" s="275">
        <v>0</v>
      </c>
      <c r="O74" s="186"/>
    </row>
    <row r="75" spans="2:15" outlineLevel="1" x14ac:dyDescent="0.2">
      <c r="B75" s="722" t="s">
        <v>1</v>
      </c>
      <c r="C75" s="134">
        <f t="shared" ref="C75:N75" si="54">+C72*C69</f>
        <v>29178.666000000001</v>
      </c>
      <c r="D75" s="134">
        <f t="shared" si="54"/>
        <v>29178.666000000001</v>
      </c>
      <c r="E75" s="134">
        <f t="shared" si="54"/>
        <v>29178.666000000001</v>
      </c>
      <c r="F75" s="134">
        <f t="shared" si="54"/>
        <v>29178.666000000001</v>
      </c>
      <c r="G75" s="134">
        <f t="shared" si="54"/>
        <v>29178.666000000001</v>
      </c>
      <c r="H75" s="134">
        <f t="shared" si="54"/>
        <v>29178.666000000001</v>
      </c>
      <c r="I75" s="134">
        <f t="shared" si="54"/>
        <v>29178.666000000001</v>
      </c>
      <c r="J75" s="134">
        <f t="shared" si="54"/>
        <v>29178.666000000001</v>
      </c>
      <c r="K75" s="134">
        <f t="shared" si="54"/>
        <v>29178.666000000001</v>
      </c>
      <c r="L75" s="134">
        <f t="shared" si="54"/>
        <v>29178.666000000001</v>
      </c>
      <c r="M75" s="134">
        <f t="shared" si="54"/>
        <v>29178.666000000001</v>
      </c>
      <c r="N75" s="134">
        <f t="shared" si="54"/>
        <v>29178.666000000001</v>
      </c>
      <c r="O75" s="134">
        <f>SUM(C75:N75)</f>
        <v>350143.99200000009</v>
      </c>
    </row>
    <row r="76" spans="2:15" ht="15" x14ac:dyDescent="0.25">
      <c r="B76" s="274" t="s">
        <v>479</v>
      </c>
      <c r="C76" s="81"/>
      <c r="D76" s="81"/>
      <c r="E76" s="81"/>
      <c r="F76" s="81"/>
      <c r="G76" s="81"/>
      <c r="H76" s="81"/>
      <c r="I76" s="81"/>
      <c r="J76" s="81"/>
      <c r="K76" s="81"/>
      <c r="L76" s="81"/>
      <c r="M76" s="81"/>
      <c r="N76" s="81"/>
      <c r="O76" s="81"/>
    </row>
    <row r="77" spans="2:15" outlineLevel="1" x14ac:dyDescent="0.2">
      <c r="B77" s="722" t="s">
        <v>283</v>
      </c>
      <c r="C77" s="186">
        <v>631.58000000000004</v>
      </c>
      <c r="D77" s="79">
        <f>+C77*(1+D79)</f>
        <v>631.58000000000004</v>
      </c>
      <c r="E77" s="79">
        <f t="shared" ref="E77:M77" si="55">+D77*(1+E79)</f>
        <v>631.58000000000004</v>
      </c>
      <c r="F77" s="79">
        <f t="shared" si="55"/>
        <v>631.58000000000004</v>
      </c>
      <c r="G77" s="79">
        <f t="shared" si="55"/>
        <v>631.58000000000004</v>
      </c>
      <c r="H77" s="79">
        <f t="shared" si="55"/>
        <v>631.58000000000004</v>
      </c>
      <c r="I77" s="79">
        <f t="shared" si="55"/>
        <v>631.58000000000004</v>
      </c>
      <c r="J77" s="79">
        <f t="shared" si="55"/>
        <v>631.58000000000004</v>
      </c>
      <c r="K77" s="79">
        <f t="shared" si="55"/>
        <v>631.58000000000004</v>
      </c>
      <c r="L77" s="79">
        <f t="shared" si="55"/>
        <v>631.58000000000004</v>
      </c>
      <c r="M77" s="79">
        <f t="shared" si="55"/>
        <v>631.58000000000004</v>
      </c>
      <c r="N77" s="79">
        <f>+M77*(1+N79)</f>
        <v>631.58000000000004</v>
      </c>
      <c r="O77" s="79">
        <f>SUM(C77:N77)</f>
        <v>7578.96</v>
      </c>
    </row>
    <row r="78" spans="2:15" outlineLevel="1" x14ac:dyDescent="0.2">
      <c r="B78" s="722"/>
      <c r="C78" s="32"/>
      <c r="D78" s="32"/>
      <c r="E78" s="32"/>
      <c r="F78" s="32"/>
      <c r="G78" s="32"/>
      <c r="H78" s="32"/>
      <c r="I78" s="32"/>
      <c r="J78" s="32"/>
      <c r="K78" s="32"/>
      <c r="L78" s="32"/>
      <c r="M78" s="32"/>
      <c r="N78" s="32"/>
      <c r="O78" s="79"/>
    </row>
    <row r="79" spans="2:15" outlineLevel="1" x14ac:dyDescent="0.2">
      <c r="B79" s="722" t="s">
        <v>282</v>
      </c>
      <c r="C79" s="80"/>
      <c r="D79" s="275"/>
      <c r="E79" s="275"/>
      <c r="F79" s="275"/>
      <c r="G79" s="275"/>
      <c r="H79" s="275"/>
      <c r="I79" s="275"/>
      <c r="J79" s="275"/>
      <c r="K79" s="275"/>
      <c r="L79" s="275"/>
      <c r="M79" s="275"/>
      <c r="N79" s="275"/>
      <c r="O79" s="186"/>
    </row>
    <row r="80" spans="2:15" outlineLevel="1" x14ac:dyDescent="0.2">
      <c r="B80" s="722" t="s">
        <v>249</v>
      </c>
      <c r="C80" s="186">
        <v>2565</v>
      </c>
      <c r="D80" s="79">
        <f>+C80*(1+D82)</f>
        <v>2565</v>
      </c>
      <c r="E80" s="79">
        <f t="shared" ref="E80:M80" si="56">+D80*(1+E82)</f>
        <v>2565</v>
      </c>
      <c r="F80" s="79">
        <f t="shared" si="56"/>
        <v>2565</v>
      </c>
      <c r="G80" s="79">
        <f t="shared" si="56"/>
        <v>2565</v>
      </c>
      <c r="H80" s="79">
        <f t="shared" si="56"/>
        <v>2565</v>
      </c>
      <c r="I80" s="79">
        <f t="shared" si="56"/>
        <v>2565</v>
      </c>
      <c r="J80" s="79">
        <f t="shared" si="56"/>
        <v>2565</v>
      </c>
      <c r="K80" s="79">
        <f t="shared" si="56"/>
        <v>2565</v>
      </c>
      <c r="L80" s="79">
        <f t="shared" si="56"/>
        <v>2565</v>
      </c>
      <c r="M80" s="79">
        <f t="shared" si="56"/>
        <v>2565</v>
      </c>
      <c r="N80" s="79">
        <f>+M80*(1+N82)</f>
        <v>2565</v>
      </c>
      <c r="O80" s="79">
        <f>+N80</f>
        <v>2565</v>
      </c>
    </row>
    <row r="81" spans="2:15" outlineLevel="1" x14ac:dyDescent="0.2">
      <c r="B81" s="722"/>
      <c r="C81" s="32"/>
      <c r="D81" s="32"/>
      <c r="E81" s="32"/>
      <c r="F81" s="32"/>
      <c r="G81" s="32"/>
      <c r="H81" s="32"/>
      <c r="I81" s="32"/>
      <c r="J81" s="32"/>
      <c r="K81" s="32"/>
      <c r="L81" s="32"/>
      <c r="M81" s="32"/>
      <c r="N81" s="32"/>
      <c r="O81" s="79"/>
    </row>
    <row r="82" spans="2:15" outlineLevel="1" x14ac:dyDescent="0.2">
      <c r="B82" s="722" t="s">
        <v>282</v>
      </c>
      <c r="C82" s="80"/>
      <c r="D82" s="275">
        <v>0</v>
      </c>
      <c r="E82" s="275">
        <v>0</v>
      </c>
      <c r="F82" s="275">
        <v>0</v>
      </c>
      <c r="G82" s="275">
        <v>0</v>
      </c>
      <c r="H82" s="275">
        <v>0</v>
      </c>
      <c r="I82" s="275">
        <v>0</v>
      </c>
      <c r="J82" s="275">
        <v>0</v>
      </c>
      <c r="K82" s="275">
        <v>0</v>
      </c>
      <c r="L82" s="275">
        <v>0</v>
      </c>
      <c r="M82" s="275">
        <v>0</v>
      </c>
      <c r="N82" s="275">
        <v>0</v>
      </c>
      <c r="O82" s="186"/>
    </row>
    <row r="83" spans="2:15" outlineLevel="1" x14ac:dyDescent="0.2">
      <c r="B83" s="722" t="s">
        <v>1</v>
      </c>
      <c r="C83" s="134">
        <f t="shared" ref="C83:N83" si="57">+C80*C77</f>
        <v>1620002.7000000002</v>
      </c>
      <c r="D83" s="134">
        <f t="shared" si="57"/>
        <v>1620002.7000000002</v>
      </c>
      <c r="E83" s="134">
        <f t="shared" si="57"/>
        <v>1620002.7000000002</v>
      </c>
      <c r="F83" s="134">
        <f t="shared" si="57"/>
        <v>1620002.7000000002</v>
      </c>
      <c r="G83" s="134">
        <f t="shared" si="57"/>
        <v>1620002.7000000002</v>
      </c>
      <c r="H83" s="134">
        <f t="shared" si="57"/>
        <v>1620002.7000000002</v>
      </c>
      <c r="I83" s="134">
        <f t="shared" si="57"/>
        <v>1620002.7000000002</v>
      </c>
      <c r="J83" s="134">
        <f t="shared" si="57"/>
        <v>1620002.7000000002</v>
      </c>
      <c r="K83" s="134">
        <f t="shared" si="57"/>
        <v>1620002.7000000002</v>
      </c>
      <c r="L83" s="134">
        <f t="shared" si="57"/>
        <v>1620002.7000000002</v>
      </c>
      <c r="M83" s="134">
        <f t="shared" si="57"/>
        <v>1620002.7000000002</v>
      </c>
      <c r="N83" s="134">
        <f t="shared" si="57"/>
        <v>1620002.7000000002</v>
      </c>
      <c r="O83" s="134">
        <f>SUM(C83:N83)</f>
        <v>19440032.399999999</v>
      </c>
    </row>
    <row r="84" spans="2:15" ht="15" x14ac:dyDescent="0.25">
      <c r="B84" s="274" t="s">
        <v>480</v>
      </c>
      <c r="C84" s="81"/>
      <c r="D84" s="81"/>
      <c r="E84" s="81"/>
      <c r="F84" s="81"/>
      <c r="G84" s="81"/>
      <c r="H84" s="81"/>
      <c r="I84" s="81"/>
      <c r="J84" s="81"/>
      <c r="K84" s="81"/>
      <c r="L84" s="81"/>
      <c r="M84" s="81"/>
      <c r="N84" s="81"/>
      <c r="O84" s="81"/>
    </row>
    <row r="85" spans="2:15" outlineLevel="1" x14ac:dyDescent="0.2">
      <c r="B85" s="722" t="s">
        <v>283</v>
      </c>
      <c r="C85" s="186">
        <v>900.32</v>
      </c>
      <c r="D85" s="79">
        <f>+C85*(1+D87)</f>
        <v>900.32</v>
      </c>
      <c r="E85" s="79">
        <f t="shared" ref="E85:M85" si="58">+D85*(1+E87)</f>
        <v>900.32</v>
      </c>
      <c r="F85" s="79">
        <f t="shared" si="58"/>
        <v>900.32</v>
      </c>
      <c r="G85" s="79">
        <f t="shared" si="58"/>
        <v>900.32</v>
      </c>
      <c r="H85" s="79">
        <f t="shared" si="58"/>
        <v>900.32</v>
      </c>
      <c r="I85" s="79">
        <f t="shared" si="58"/>
        <v>900.32</v>
      </c>
      <c r="J85" s="79">
        <f t="shared" si="58"/>
        <v>900.32</v>
      </c>
      <c r="K85" s="79">
        <f t="shared" si="58"/>
        <v>900.32</v>
      </c>
      <c r="L85" s="79">
        <f t="shared" si="58"/>
        <v>900.32</v>
      </c>
      <c r="M85" s="79">
        <f t="shared" si="58"/>
        <v>900.32</v>
      </c>
      <c r="N85" s="79">
        <f>+M85*(1+N87)</f>
        <v>900.32</v>
      </c>
      <c r="O85" s="79">
        <f>SUM(C85:N85)</f>
        <v>10803.839999999998</v>
      </c>
    </row>
    <row r="86" spans="2:15" outlineLevel="1" x14ac:dyDescent="0.2">
      <c r="B86" s="722"/>
      <c r="C86" s="32"/>
      <c r="D86" s="32"/>
      <c r="E86" s="32"/>
      <c r="F86" s="32"/>
      <c r="G86" s="32"/>
      <c r="H86" s="32"/>
      <c r="I86" s="32"/>
      <c r="J86" s="32"/>
      <c r="K86" s="32"/>
      <c r="L86" s="32"/>
      <c r="M86" s="32"/>
      <c r="N86" s="32"/>
      <c r="O86" s="79"/>
    </row>
    <row r="87" spans="2:15" outlineLevel="1" x14ac:dyDescent="0.2">
      <c r="B87" s="722" t="s">
        <v>282</v>
      </c>
      <c r="C87" s="80"/>
      <c r="D87" s="275"/>
      <c r="E87" s="275"/>
      <c r="F87" s="275"/>
      <c r="G87" s="275"/>
      <c r="H87" s="275"/>
      <c r="I87" s="275"/>
      <c r="J87" s="275"/>
      <c r="K87" s="275"/>
      <c r="L87" s="275"/>
      <c r="M87" s="275"/>
      <c r="N87" s="275"/>
      <c r="O87" s="186"/>
    </row>
    <row r="88" spans="2:15" outlineLevel="1" x14ac:dyDescent="0.2">
      <c r="B88" s="722" t="s">
        <v>249</v>
      </c>
      <c r="C88" s="186">
        <v>1333.8</v>
      </c>
      <c r="D88" s="79">
        <f>+C88*(1+D90)</f>
        <v>1333.8</v>
      </c>
      <c r="E88" s="79">
        <f t="shared" ref="E88:M88" si="59">+D88*(1+E90)</f>
        <v>1333.8</v>
      </c>
      <c r="F88" s="79">
        <f t="shared" si="59"/>
        <v>1333.8</v>
      </c>
      <c r="G88" s="79">
        <f t="shared" si="59"/>
        <v>1333.8</v>
      </c>
      <c r="H88" s="79">
        <f t="shared" si="59"/>
        <v>1333.8</v>
      </c>
      <c r="I88" s="79">
        <f t="shared" si="59"/>
        <v>1333.8</v>
      </c>
      <c r="J88" s="79">
        <f t="shared" si="59"/>
        <v>1333.8</v>
      </c>
      <c r="K88" s="79">
        <f t="shared" si="59"/>
        <v>1333.8</v>
      </c>
      <c r="L88" s="79">
        <f t="shared" si="59"/>
        <v>1333.8</v>
      </c>
      <c r="M88" s="79">
        <f t="shared" si="59"/>
        <v>1333.8</v>
      </c>
      <c r="N88" s="79">
        <f>+M88*(1+N90)</f>
        <v>1333.8</v>
      </c>
      <c r="O88" s="79">
        <f>+N88</f>
        <v>1333.8</v>
      </c>
    </row>
    <row r="89" spans="2:15" outlineLevel="1" x14ac:dyDescent="0.2">
      <c r="B89" s="722"/>
      <c r="C89" s="32"/>
      <c r="D89" s="32"/>
      <c r="E89" s="32"/>
      <c r="F89" s="32"/>
      <c r="G89" s="32"/>
      <c r="H89" s="32"/>
      <c r="I89" s="32"/>
      <c r="J89" s="32"/>
      <c r="K89" s="32"/>
      <c r="L89" s="32"/>
      <c r="M89" s="32"/>
      <c r="N89" s="32"/>
      <c r="O89" s="79"/>
    </row>
    <row r="90" spans="2:15" outlineLevel="1" x14ac:dyDescent="0.2">
      <c r="B90" s="722" t="s">
        <v>282</v>
      </c>
      <c r="C90" s="80"/>
      <c r="D90" s="275">
        <v>0</v>
      </c>
      <c r="E90" s="275">
        <v>0</v>
      </c>
      <c r="F90" s="275">
        <v>0</v>
      </c>
      <c r="G90" s="275">
        <v>0</v>
      </c>
      <c r="H90" s="275">
        <v>0</v>
      </c>
      <c r="I90" s="275">
        <v>0</v>
      </c>
      <c r="J90" s="275">
        <v>0</v>
      </c>
      <c r="K90" s="275">
        <v>0</v>
      </c>
      <c r="L90" s="275">
        <v>0</v>
      </c>
      <c r="M90" s="275">
        <v>0</v>
      </c>
      <c r="N90" s="275">
        <v>0</v>
      </c>
      <c r="O90" s="186"/>
    </row>
    <row r="91" spans="2:15" outlineLevel="1" x14ac:dyDescent="0.2">
      <c r="B91" s="722" t="s">
        <v>1</v>
      </c>
      <c r="C91" s="134">
        <f t="shared" ref="C91:N91" si="60">+C88*C85</f>
        <v>1200846.8160000001</v>
      </c>
      <c r="D91" s="134">
        <f t="shared" si="60"/>
        <v>1200846.8160000001</v>
      </c>
      <c r="E91" s="134">
        <f t="shared" si="60"/>
        <v>1200846.8160000001</v>
      </c>
      <c r="F91" s="134">
        <f t="shared" si="60"/>
        <v>1200846.8160000001</v>
      </c>
      <c r="G91" s="134">
        <f t="shared" si="60"/>
        <v>1200846.8160000001</v>
      </c>
      <c r="H91" s="134">
        <f t="shared" si="60"/>
        <v>1200846.8160000001</v>
      </c>
      <c r="I91" s="134">
        <f t="shared" si="60"/>
        <v>1200846.8160000001</v>
      </c>
      <c r="J91" s="134">
        <f t="shared" si="60"/>
        <v>1200846.8160000001</v>
      </c>
      <c r="K91" s="134">
        <f t="shared" si="60"/>
        <v>1200846.8160000001</v>
      </c>
      <c r="L91" s="134">
        <f t="shared" si="60"/>
        <v>1200846.8160000001</v>
      </c>
      <c r="M91" s="134">
        <f t="shared" si="60"/>
        <v>1200846.8160000001</v>
      </c>
      <c r="N91" s="134">
        <f t="shared" si="60"/>
        <v>1200846.8160000001</v>
      </c>
      <c r="O91" s="134">
        <f>SUM(C91:N91)</f>
        <v>14410161.791999998</v>
      </c>
    </row>
    <row r="92" spans="2:15" ht="15" x14ac:dyDescent="0.25">
      <c r="B92" s="274" t="s">
        <v>481</v>
      </c>
      <c r="C92" s="81"/>
      <c r="D92" s="81"/>
      <c r="E92" s="81"/>
      <c r="F92" s="81"/>
      <c r="G92" s="81"/>
      <c r="H92" s="81"/>
      <c r="I92" s="81"/>
      <c r="J92" s="81"/>
      <c r="K92" s="81"/>
      <c r="L92" s="81"/>
      <c r="M92" s="81"/>
      <c r="N92" s="81"/>
      <c r="O92" s="81"/>
    </row>
    <row r="93" spans="2:15" outlineLevel="1" x14ac:dyDescent="0.2">
      <c r="B93" s="722" t="s">
        <v>283</v>
      </c>
      <c r="C93" s="186">
        <v>460.98</v>
      </c>
      <c r="D93" s="79">
        <f>+C93*(1+D95)</f>
        <v>460.98</v>
      </c>
      <c r="E93" s="79">
        <f t="shared" ref="E93:M93" si="61">+D93*(1+E95)</f>
        <v>460.98</v>
      </c>
      <c r="F93" s="79">
        <f t="shared" si="61"/>
        <v>460.98</v>
      </c>
      <c r="G93" s="79">
        <f t="shared" si="61"/>
        <v>460.98</v>
      </c>
      <c r="H93" s="79">
        <f t="shared" si="61"/>
        <v>460.98</v>
      </c>
      <c r="I93" s="79">
        <f t="shared" si="61"/>
        <v>460.98</v>
      </c>
      <c r="J93" s="79">
        <f t="shared" si="61"/>
        <v>460.98</v>
      </c>
      <c r="K93" s="79">
        <f t="shared" si="61"/>
        <v>460.98</v>
      </c>
      <c r="L93" s="79">
        <f t="shared" si="61"/>
        <v>460.98</v>
      </c>
      <c r="M93" s="79">
        <f t="shared" si="61"/>
        <v>460.98</v>
      </c>
      <c r="N93" s="79">
        <f>+M93*(1+N95)</f>
        <v>460.98</v>
      </c>
      <c r="O93" s="79">
        <f>SUM(C93:N93)</f>
        <v>5531.7599999999984</v>
      </c>
    </row>
    <row r="94" spans="2:15" outlineLevel="1" x14ac:dyDescent="0.2">
      <c r="B94" s="722"/>
      <c r="C94" s="32"/>
      <c r="D94" s="32"/>
      <c r="E94" s="32"/>
      <c r="F94" s="32"/>
      <c r="G94" s="32"/>
      <c r="H94" s="32"/>
      <c r="I94" s="32"/>
      <c r="J94" s="32"/>
      <c r="K94" s="32"/>
      <c r="L94" s="32"/>
      <c r="M94" s="32"/>
      <c r="N94" s="32"/>
      <c r="O94" s="79"/>
    </row>
    <row r="95" spans="2:15" outlineLevel="1" x14ac:dyDescent="0.2">
      <c r="B95" s="722" t="s">
        <v>282</v>
      </c>
      <c r="C95" s="80"/>
      <c r="D95" s="275"/>
      <c r="E95" s="275"/>
      <c r="F95" s="275"/>
      <c r="G95" s="275"/>
      <c r="H95" s="275"/>
      <c r="I95" s="275"/>
      <c r="J95" s="275"/>
      <c r="K95" s="275"/>
      <c r="L95" s="275"/>
      <c r="M95" s="275"/>
      <c r="N95" s="275"/>
      <c r="O95" s="186"/>
    </row>
    <row r="96" spans="2:15" outlineLevel="1" x14ac:dyDescent="0.2">
      <c r="B96" s="722" t="s">
        <v>249</v>
      </c>
      <c r="C96" s="132">
        <v>2257.1999999999998</v>
      </c>
      <c r="D96" s="79">
        <f>+C96*(1+D98)</f>
        <v>2257.1999999999998</v>
      </c>
      <c r="E96" s="79">
        <f t="shared" ref="E96:M96" si="62">+D96*(1+E98)</f>
        <v>2257.1999999999998</v>
      </c>
      <c r="F96" s="79">
        <f t="shared" si="62"/>
        <v>2257.1999999999998</v>
      </c>
      <c r="G96" s="79">
        <f t="shared" si="62"/>
        <v>2257.1999999999998</v>
      </c>
      <c r="H96" s="79">
        <f t="shared" si="62"/>
        <v>2257.1999999999998</v>
      </c>
      <c r="I96" s="79">
        <f t="shared" si="62"/>
        <v>2257.1999999999998</v>
      </c>
      <c r="J96" s="79">
        <f t="shared" si="62"/>
        <v>2257.1999999999998</v>
      </c>
      <c r="K96" s="79">
        <f t="shared" si="62"/>
        <v>2257.1999999999998</v>
      </c>
      <c r="L96" s="79">
        <f t="shared" si="62"/>
        <v>2257.1999999999998</v>
      </c>
      <c r="M96" s="79">
        <f t="shared" si="62"/>
        <v>2257.1999999999998</v>
      </c>
      <c r="N96" s="79">
        <f>+M96*(1+N98)</f>
        <v>2257.1999999999998</v>
      </c>
      <c r="O96" s="79">
        <f>+N96</f>
        <v>2257.1999999999998</v>
      </c>
    </row>
    <row r="97" spans="2:15" outlineLevel="1" x14ac:dyDescent="0.2">
      <c r="B97" s="722"/>
      <c r="C97" s="80"/>
      <c r="D97" s="32"/>
      <c r="E97" s="32"/>
      <c r="F97" s="32"/>
      <c r="G97" s="32"/>
      <c r="H97" s="32"/>
      <c r="I97" s="32"/>
      <c r="J97" s="32"/>
      <c r="K97" s="32"/>
      <c r="L97" s="32"/>
      <c r="M97" s="32"/>
      <c r="N97" s="32"/>
      <c r="O97" s="79"/>
    </row>
    <row r="98" spans="2:15" outlineLevel="1" x14ac:dyDescent="0.2">
      <c r="B98" s="722" t="s">
        <v>282</v>
      </c>
      <c r="C98" s="80"/>
      <c r="D98" s="275">
        <v>0</v>
      </c>
      <c r="E98" s="275">
        <v>0</v>
      </c>
      <c r="F98" s="275">
        <v>0</v>
      </c>
      <c r="G98" s="275">
        <v>0</v>
      </c>
      <c r="H98" s="275">
        <v>0</v>
      </c>
      <c r="I98" s="275">
        <v>0</v>
      </c>
      <c r="J98" s="275">
        <v>0</v>
      </c>
      <c r="K98" s="275">
        <v>0</v>
      </c>
      <c r="L98" s="275">
        <v>0</v>
      </c>
      <c r="M98" s="275">
        <v>0</v>
      </c>
      <c r="N98" s="275">
        <v>0</v>
      </c>
      <c r="O98" s="186"/>
    </row>
    <row r="99" spans="2:15" outlineLevel="1" x14ac:dyDescent="0.2">
      <c r="B99" s="722" t="s">
        <v>1</v>
      </c>
      <c r="C99" s="134">
        <f t="shared" ref="C99:N99" si="63">+C96*C93</f>
        <v>1040524.056</v>
      </c>
      <c r="D99" s="134">
        <f t="shared" si="63"/>
        <v>1040524.056</v>
      </c>
      <c r="E99" s="134">
        <f t="shared" si="63"/>
        <v>1040524.056</v>
      </c>
      <c r="F99" s="134">
        <f t="shared" si="63"/>
        <v>1040524.056</v>
      </c>
      <c r="G99" s="134">
        <f t="shared" si="63"/>
        <v>1040524.056</v>
      </c>
      <c r="H99" s="134">
        <f t="shared" si="63"/>
        <v>1040524.056</v>
      </c>
      <c r="I99" s="134">
        <f t="shared" si="63"/>
        <v>1040524.056</v>
      </c>
      <c r="J99" s="134">
        <f t="shared" si="63"/>
        <v>1040524.056</v>
      </c>
      <c r="K99" s="134">
        <f t="shared" si="63"/>
        <v>1040524.056</v>
      </c>
      <c r="L99" s="134">
        <f t="shared" si="63"/>
        <v>1040524.056</v>
      </c>
      <c r="M99" s="134">
        <f t="shared" si="63"/>
        <v>1040524.056</v>
      </c>
      <c r="N99" s="134">
        <f t="shared" si="63"/>
        <v>1040524.056</v>
      </c>
      <c r="O99" s="134">
        <f>SUM(C99:N99)</f>
        <v>12486288.672</v>
      </c>
    </row>
    <row r="100" spans="2:15" ht="15" x14ac:dyDescent="0.25">
      <c r="B100" s="274" t="s">
        <v>482</v>
      </c>
      <c r="C100" s="81"/>
      <c r="D100" s="81"/>
      <c r="E100" s="81"/>
      <c r="F100" s="81"/>
      <c r="G100" s="81"/>
      <c r="H100" s="81"/>
      <c r="I100" s="81"/>
      <c r="J100" s="81"/>
      <c r="K100" s="81"/>
      <c r="L100" s="81"/>
      <c r="M100" s="81"/>
      <c r="N100" s="81"/>
      <c r="O100" s="81"/>
    </row>
    <row r="101" spans="2:15" outlineLevel="1" x14ac:dyDescent="0.2">
      <c r="B101" s="722" t="s">
        <v>283</v>
      </c>
      <c r="C101" s="186">
        <v>2134.29</v>
      </c>
      <c r="D101" s="79">
        <f>+C101*(1+D103)</f>
        <v>2134.29</v>
      </c>
      <c r="E101" s="79">
        <f t="shared" ref="E101:M101" si="64">+D101*(1+E103)</f>
        <v>2134.29</v>
      </c>
      <c r="F101" s="79">
        <f t="shared" si="64"/>
        <v>2134.29</v>
      </c>
      <c r="G101" s="79">
        <f t="shared" si="64"/>
        <v>2134.29</v>
      </c>
      <c r="H101" s="79">
        <f t="shared" si="64"/>
        <v>2134.29</v>
      </c>
      <c r="I101" s="79">
        <f t="shared" si="64"/>
        <v>2134.29</v>
      </c>
      <c r="J101" s="79">
        <f t="shared" si="64"/>
        <v>2134.29</v>
      </c>
      <c r="K101" s="79">
        <f t="shared" si="64"/>
        <v>2134.29</v>
      </c>
      <c r="L101" s="79">
        <f t="shared" si="64"/>
        <v>2134.29</v>
      </c>
      <c r="M101" s="79">
        <f t="shared" si="64"/>
        <v>2134.29</v>
      </c>
      <c r="N101" s="79">
        <f>+M101*(1+N103)</f>
        <v>2134.29</v>
      </c>
      <c r="O101" s="79">
        <f>SUM(C101:N101)</f>
        <v>25611.480000000007</v>
      </c>
    </row>
    <row r="102" spans="2:15" outlineLevel="1" x14ac:dyDescent="0.2">
      <c r="B102" s="722"/>
      <c r="C102" s="32"/>
      <c r="D102" s="32"/>
      <c r="E102" s="32"/>
      <c r="F102" s="32"/>
      <c r="G102" s="32"/>
      <c r="H102" s="32"/>
      <c r="I102" s="32"/>
      <c r="J102" s="32"/>
      <c r="K102" s="32"/>
      <c r="L102" s="32"/>
      <c r="M102" s="32"/>
      <c r="N102" s="32"/>
      <c r="O102" s="79"/>
    </row>
    <row r="103" spans="2:15" outlineLevel="1" x14ac:dyDescent="0.2">
      <c r="B103" s="722" t="s">
        <v>282</v>
      </c>
      <c r="C103" s="80"/>
      <c r="D103" s="275"/>
      <c r="E103" s="275"/>
      <c r="F103" s="275"/>
      <c r="G103" s="275"/>
      <c r="H103" s="275"/>
      <c r="I103" s="275"/>
      <c r="J103" s="275"/>
      <c r="K103" s="275"/>
      <c r="L103" s="275"/>
      <c r="M103" s="275"/>
      <c r="N103" s="275"/>
      <c r="O103" s="186"/>
    </row>
    <row r="104" spans="2:15" outlineLevel="1" x14ac:dyDescent="0.2">
      <c r="B104" s="722" t="s">
        <v>249</v>
      </c>
      <c r="C104" s="132">
        <v>5130</v>
      </c>
      <c r="D104" s="79">
        <f>+C104*(1+D106)</f>
        <v>5130</v>
      </c>
      <c r="E104" s="79">
        <f t="shared" ref="E104:M104" si="65">+D104*(1+E106)</f>
        <v>5130</v>
      </c>
      <c r="F104" s="79">
        <f t="shared" si="65"/>
        <v>5130</v>
      </c>
      <c r="G104" s="79">
        <f t="shared" si="65"/>
        <v>5130</v>
      </c>
      <c r="H104" s="79">
        <f t="shared" si="65"/>
        <v>5130</v>
      </c>
      <c r="I104" s="79">
        <f t="shared" si="65"/>
        <v>5130</v>
      </c>
      <c r="J104" s="79">
        <f t="shared" si="65"/>
        <v>5130</v>
      </c>
      <c r="K104" s="79">
        <f t="shared" si="65"/>
        <v>5130</v>
      </c>
      <c r="L104" s="79">
        <f t="shared" si="65"/>
        <v>5130</v>
      </c>
      <c r="M104" s="79">
        <f t="shared" si="65"/>
        <v>5130</v>
      </c>
      <c r="N104" s="79">
        <f>+M104*(1+N106)</f>
        <v>5130</v>
      </c>
      <c r="O104" s="79">
        <f>+N104</f>
        <v>5130</v>
      </c>
    </row>
    <row r="105" spans="2:15" outlineLevel="1" x14ac:dyDescent="0.2">
      <c r="B105" s="722"/>
      <c r="C105" s="32"/>
      <c r="D105" s="32"/>
      <c r="E105" s="32"/>
      <c r="F105" s="32"/>
      <c r="G105" s="32"/>
      <c r="H105" s="32"/>
      <c r="I105" s="32"/>
      <c r="J105" s="32"/>
      <c r="K105" s="32"/>
      <c r="L105" s="32"/>
      <c r="M105" s="32"/>
      <c r="N105" s="32"/>
      <c r="O105" s="79"/>
    </row>
    <row r="106" spans="2:15" outlineLevel="1" x14ac:dyDescent="0.2">
      <c r="B106" s="722" t="s">
        <v>282</v>
      </c>
      <c r="C106" s="80"/>
      <c r="D106" s="275">
        <v>0</v>
      </c>
      <c r="E106" s="275">
        <v>0</v>
      </c>
      <c r="F106" s="275">
        <v>0</v>
      </c>
      <c r="G106" s="275">
        <v>0</v>
      </c>
      <c r="H106" s="275">
        <v>0</v>
      </c>
      <c r="I106" s="275">
        <v>0</v>
      </c>
      <c r="J106" s="275">
        <v>0</v>
      </c>
      <c r="K106" s="275">
        <v>0</v>
      </c>
      <c r="L106" s="275">
        <v>0</v>
      </c>
      <c r="M106" s="275">
        <v>0</v>
      </c>
      <c r="N106" s="275">
        <v>0</v>
      </c>
      <c r="O106" s="186"/>
    </row>
    <row r="107" spans="2:15" outlineLevel="1" x14ac:dyDescent="0.2">
      <c r="B107" s="722" t="s">
        <v>1</v>
      </c>
      <c r="C107" s="134">
        <f t="shared" ref="C107:N107" si="66">+C104*C101</f>
        <v>10948907.699999999</v>
      </c>
      <c r="D107" s="134">
        <f t="shared" si="66"/>
        <v>10948907.699999999</v>
      </c>
      <c r="E107" s="134">
        <f t="shared" si="66"/>
        <v>10948907.699999999</v>
      </c>
      <c r="F107" s="134">
        <f t="shared" si="66"/>
        <v>10948907.699999999</v>
      </c>
      <c r="G107" s="134">
        <f t="shared" si="66"/>
        <v>10948907.699999999</v>
      </c>
      <c r="H107" s="134">
        <f t="shared" si="66"/>
        <v>10948907.699999999</v>
      </c>
      <c r="I107" s="134">
        <f t="shared" si="66"/>
        <v>10948907.699999999</v>
      </c>
      <c r="J107" s="134">
        <f t="shared" si="66"/>
        <v>10948907.699999999</v>
      </c>
      <c r="K107" s="134">
        <f t="shared" si="66"/>
        <v>10948907.699999999</v>
      </c>
      <c r="L107" s="134">
        <f t="shared" si="66"/>
        <v>10948907.699999999</v>
      </c>
      <c r="M107" s="134">
        <f t="shared" si="66"/>
        <v>10948907.699999999</v>
      </c>
      <c r="N107" s="134">
        <f t="shared" si="66"/>
        <v>10948907.699999999</v>
      </c>
      <c r="O107" s="134">
        <f>SUM(C107:N107)</f>
        <v>131386892.40000002</v>
      </c>
    </row>
    <row r="108" spans="2:15" ht="15" x14ac:dyDescent="0.25">
      <c r="B108" s="274" t="s">
        <v>483</v>
      </c>
      <c r="C108" s="81"/>
      <c r="D108" s="81"/>
      <c r="E108" s="81"/>
      <c r="F108" s="81"/>
      <c r="G108" s="81"/>
      <c r="H108" s="81"/>
      <c r="I108" s="81"/>
      <c r="J108" s="81"/>
      <c r="K108" s="81"/>
      <c r="L108" s="81"/>
      <c r="M108" s="81"/>
      <c r="N108" s="81"/>
      <c r="O108" s="81"/>
    </row>
    <row r="109" spans="2:15" outlineLevel="1" x14ac:dyDescent="0.2">
      <c r="B109" s="722" t="s">
        <v>283</v>
      </c>
      <c r="C109" s="186">
        <v>1893.28</v>
      </c>
      <c r="D109" s="79">
        <f>+C109*(1+D111)</f>
        <v>1893.28</v>
      </c>
      <c r="E109" s="79">
        <f t="shared" ref="E109:M109" si="67">+D109*(1+E111)</f>
        <v>1893.28</v>
      </c>
      <c r="F109" s="79">
        <f t="shared" si="67"/>
        <v>1893.28</v>
      </c>
      <c r="G109" s="79">
        <f t="shared" si="67"/>
        <v>1893.28</v>
      </c>
      <c r="H109" s="79">
        <f t="shared" si="67"/>
        <v>1893.28</v>
      </c>
      <c r="I109" s="79">
        <f t="shared" si="67"/>
        <v>1893.28</v>
      </c>
      <c r="J109" s="79">
        <f t="shared" si="67"/>
        <v>1893.28</v>
      </c>
      <c r="K109" s="79">
        <f t="shared" si="67"/>
        <v>1893.28</v>
      </c>
      <c r="L109" s="79">
        <f t="shared" si="67"/>
        <v>1893.28</v>
      </c>
      <c r="M109" s="79">
        <f t="shared" si="67"/>
        <v>1893.28</v>
      </c>
      <c r="N109" s="79">
        <f>+M109*(1+N111)</f>
        <v>1893.28</v>
      </c>
      <c r="O109" s="79">
        <f>SUM(C109:N109)</f>
        <v>22719.359999999997</v>
      </c>
    </row>
    <row r="110" spans="2:15" outlineLevel="1" x14ac:dyDescent="0.2">
      <c r="B110" s="722"/>
      <c r="C110" s="32"/>
      <c r="D110" s="32"/>
      <c r="E110" s="32"/>
      <c r="F110" s="32"/>
      <c r="G110" s="32"/>
      <c r="H110" s="32"/>
      <c r="I110" s="32"/>
      <c r="J110" s="32"/>
      <c r="K110" s="32"/>
      <c r="L110" s="32"/>
      <c r="M110" s="32"/>
      <c r="N110" s="32"/>
      <c r="O110" s="79"/>
    </row>
    <row r="111" spans="2:15" outlineLevel="1" x14ac:dyDescent="0.2">
      <c r="B111" s="722" t="s">
        <v>282</v>
      </c>
      <c r="C111" s="80"/>
      <c r="D111" s="275"/>
      <c r="E111" s="275"/>
      <c r="F111" s="275"/>
      <c r="G111" s="275"/>
      <c r="H111" s="275"/>
      <c r="I111" s="275"/>
      <c r="J111" s="275"/>
      <c r="K111" s="275"/>
      <c r="L111" s="275"/>
      <c r="M111" s="275"/>
      <c r="N111" s="275"/>
      <c r="O111" s="186"/>
    </row>
    <row r="112" spans="2:15" outlineLevel="1" x14ac:dyDescent="0.2">
      <c r="B112" s="722" t="s">
        <v>249</v>
      </c>
      <c r="C112" s="186">
        <v>2906.66</v>
      </c>
      <c r="D112" s="79">
        <f>+C112*(1+D114)</f>
        <v>2906.66</v>
      </c>
      <c r="E112" s="79">
        <f t="shared" ref="E112:M112" si="68">+D112*(1+E114)</f>
        <v>2906.66</v>
      </c>
      <c r="F112" s="79">
        <f t="shared" si="68"/>
        <v>2906.66</v>
      </c>
      <c r="G112" s="79">
        <f t="shared" si="68"/>
        <v>2906.66</v>
      </c>
      <c r="H112" s="79">
        <f t="shared" si="68"/>
        <v>2906.66</v>
      </c>
      <c r="I112" s="79">
        <f t="shared" si="68"/>
        <v>2906.66</v>
      </c>
      <c r="J112" s="79">
        <f t="shared" si="68"/>
        <v>2906.66</v>
      </c>
      <c r="K112" s="79">
        <f t="shared" si="68"/>
        <v>2906.66</v>
      </c>
      <c r="L112" s="79">
        <f t="shared" si="68"/>
        <v>2906.66</v>
      </c>
      <c r="M112" s="79">
        <f t="shared" si="68"/>
        <v>2906.66</v>
      </c>
      <c r="N112" s="79">
        <f>+M112*(1+N114)</f>
        <v>2906.66</v>
      </c>
      <c r="O112" s="79">
        <f>+N112</f>
        <v>2906.66</v>
      </c>
    </row>
    <row r="113" spans="2:15" outlineLevel="1" x14ac:dyDescent="0.2">
      <c r="B113" s="722"/>
      <c r="C113" s="32"/>
      <c r="D113" s="32"/>
      <c r="E113" s="32"/>
      <c r="F113" s="32"/>
      <c r="G113" s="32"/>
      <c r="H113" s="32"/>
      <c r="I113" s="32"/>
      <c r="J113" s="32"/>
      <c r="K113" s="32"/>
      <c r="L113" s="32"/>
      <c r="M113" s="32"/>
      <c r="N113" s="32"/>
      <c r="O113" s="79"/>
    </row>
    <row r="114" spans="2:15" outlineLevel="1" x14ac:dyDescent="0.2">
      <c r="B114" s="722" t="s">
        <v>282</v>
      </c>
      <c r="C114" s="80"/>
      <c r="D114" s="275">
        <v>0</v>
      </c>
      <c r="E114" s="275">
        <v>0</v>
      </c>
      <c r="F114" s="275">
        <v>0</v>
      </c>
      <c r="G114" s="275">
        <v>0</v>
      </c>
      <c r="H114" s="275">
        <v>0</v>
      </c>
      <c r="I114" s="275">
        <v>0</v>
      </c>
      <c r="J114" s="275">
        <v>0</v>
      </c>
      <c r="K114" s="275">
        <v>0</v>
      </c>
      <c r="L114" s="275">
        <v>0</v>
      </c>
      <c r="M114" s="275">
        <v>0</v>
      </c>
      <c r="N114" s="275">
        <v>0</v>
      </c>
      <c r="O114" s="186"/>
    </row>
    <row r="115" spans="2:15" outlineLevel="1" x14ac:dyDescent="0.2">
      <c r="B115" s="722" t="s">
        <v>1</v>
      </c>
      <c r="C115" s="134">
        <f t="shared" ref="C115:N115" si="69">+C112*C109</f>
        <v>5503121.2447999995</v>
      </c>
      <c r="D115" s="134">
        <f t="shared" si="69"/>
        <v>5503121.2447999995</v>
      </c>
      <c r="E115" s="134">
        <f t="shared" si="69"/>
        <v>5503121.2447999995</v>
      </c>
      <c r="F115" s="134">
        <f t="shared" si="69"/>
        <v>5503121.2447999995</v>
      </c>
      <c r="G115" s="134">
        <f t="shared" si="69"/>
        <v>5503121.2447999995</v>
      </c>
      <c r="H115" s="134">
        <f t="shared" si="69"/>
        <v>5503121.2447999995</v>
      </c>
      <c r="I115" s="134">
        <f t="shared" si="69"/>
        <v>5503121.2447999995</v>
      </c>
      <c r="J115" s="134">
        <f t="shared" si="69"/>
        <v>5503121.2447999995</v>
      </c>
      <c r="K115" s="134">
        <f t="shared" si="69"/>
        <v>5503121.2447999995</v>
      </c>
      <c r="L115" s="134">
        <f t="shared" si="69"/>
        <v>5503121.2447999995</v>
      </c>
      <c r="M115" s="134">
        <f t="shared" si="69"/>
        <v>5503121.2447999995</v>
      </c>
      <c r="N115" s="134">
        <f t="shared" si="69"/>
        <v>5503121.2447999995</v>
      </c>
      <c r="O115" s="134">
        <f>SUM(C115:N115)</f>
        <v>66037454.937600009</v>
      </c>
    </row>
    <row r="116" spans="2:15" ht="15" x14ac:dyDescent="0.25">
      <c r="B116" s="274" t="s">
        <v>484</v>
      </c>
      <c r="C116" s="81"/>
      <c r="D116" s="81"/>
      <c r="E116" s="81"/>
      <c r="F116" s="81"/>
      <c r="G116" s="81"/>
      <c r="H116" s="81"/>
      <c r="I116" s="81"/>
      <c r="J116" s="81"/>
      <c r="K116" s="81"/>
      <c r="L116" s="81"/>
      <c r="M116" s="81"/>
      <c r="N116" s="81"/>
      <c r="O116" s="81"/>
    </row>
    <row r="117" spans="2:15" outlineLevel="1" x14ac:dyDescent="0.2">
      <c r="B117" s="722" t="s">
        <v>283</v>
      </c>
      <c r="C117" s="186">
        <v>1405.44</v>
      </c>
      <c r="D117" s="79">
        <f>+C117*(1+D119)</f>
        <v>1405.44</v>
      </c>
      <c r="E117" s="79">
        <f t="shared" ref="E117:M117" si="70">+D117*(1+E119)</f>
        <v>1405.44</v>
      </c>
      <c r="F117" s="79">
        <f t="shared" si="70"/>
        <v>1405.44</v>
      </c>
      <c r="G117" s="79">
        <f t="shared" si="70"/>
        <v>1405.44</v>
      </c>
      <c r="H117" s="79">
        <f t="shared" si="70"/>
        <v>1405.44</v>
      </c>
      <c r="I117" s="79">
        <f t="shared" si="70"/>
        <v>1405.44</v>
      </c>
      <c r="J117" s="79">
        <f t="shared" si="70"/>
        <v>1405.44</v>
      </c>
      <c r="K117" s="79">
        <f t="shared" si="70"/>
        <v>1405.44</v>
      </c>
      <c r="L117" s="79">
        <f t="shared" si="70"/>
        <v>1405.44</v>
      </c>
      <c r="M117" s="79">
        <f t="shared" si="70"/>
        <v>1405.44</v>
      </c>
      <c r="N117" s="79">
        <f>+M117*(1+N119)</f>
        <v>1405.44</v>
      </c>
      <c r="O117" s="79">
        <f>SUM(C117:N117)</f>
        <v>16865.280000000002</v>
      </c>
    </row>
    <row r="118" spans="2:15" outlineLevel="1" x14ac:dyDescent="0.2">
      <c r="B118" s="722"/>
      <c r="C118" s="32"/>
      <c r="D118" s="32"/>
      <c r="E118" s="32"/>
      <c r="F118" s="32"/>
      <c r="G118" s="32"/>
      <c r="H118" s="32"/>
      <c r="I118" s="32"/>
      <c r="J118" s="32"/>
      <c r="K118" s="32"/>
      <c r="L118" s="32"/>
      <c r="M118" s="32"/>
      <c r="N118" s="32"/>
      <c r="O118" s="79"/>
    </row>
    <row r="119" spans="2:15" outlineLevel="1" x14ac:dyDescent="0.2">
      <c r="B119" s="722" t="s">
        <v>282</v>
      </c>
      <c r="C119" s="80"/>
      <c r="D119" s="275"/>
      <c r="E119" s="275"/>
      <c r="F119" s="275"/>
      <c r="G119" s="275"/>
      <c r="H119" s="275"/>
      <c r="I119" s="275"/>
      <c r="J119" s="275"/>
      <c r="K119" s="275"/>
      <c r="L119" s="275"/>
      <c r="M119" s="275"/>
      <c r="N119" s="275"/>
      <c r="O119" s="186"/>
    </row>
    <row r="120" spans="2:15" outlineLevel="1" x14ac:dyDescent="0.2">
      <c r="B120" s="722" t="s">
        <v>249</v>
      </c>
      <c r="C120" s="186">
        <v>1675.46</v>
      </c>
      <c r="D120" s="79">
        <f>+C120*(1+D122)</f>
        <v>1675.46</v>
      </c>
      <c r="E120" s="79">
        <f t="shared" ref="E120:M120" si="71">+D120*(1+E122)</f>
        <v>1675.46</v>
      </c>
      <c r="F120" s="79">
        <f t="shared" si="71"/>
        <v>1675.46</v>
      </c>
      <c r="G120" s="79">
        <f t="shared" si="71"/>
        <v>1675.46</v>
      </c>
      <c r="H120" s="79">
        <f t="shared" si="71"/>
        <v>1675.46</v>
      </c>
      <c r="I120" s="79">
        <f t="shared" si="71"/>
        <v>1675.46</v>
      </c>
      <c r="J120" s="79">
        <f t="shared" si="71"/>
        <v>1675.46</v>
      </c>
      <c r="K120" s="79">
        <f t="shared" si="71"/>
        <v>1675.46</v>
      </c>
      <c r="L120" s="79">
        <f t="shared" si="71"/>
        <v>1675.46</v>
      </c>
      <c r="M120" s="79">
        <f t="shared" si="71"/>
        <v>1675.46</v>
      </c>
      <c r="N120" s="79">
        <f>+M120*(1+N122)</f>
        <v>1675.46</v>
      </c>
      <c r="O120" s="79">
        <f>+N120</f>
        <v>1675.46</v>
      </c>
    </row>
    <row r="121" spans="2:15" outlineLevel="1" x14ac:dyDescent="0.2">
      <c r="B121" s="722"/>
      <c r="C121" s="32"/>
      <c r="D121" s="32"/>
      <c r="E121" s="32"/>
      <c r="F121" s="32"/>
      <c r="G121" s="32"/>
      <c r="H121" s="32"/>
      <c r="I121" s="32"/>
      <c r="J121" s="32"/>
      <c r="K121" s="32"/>
      <c r="L121" s="32"/>
      <c r="M121" s="32"/>
      <c r="N121" s="32"/>
      <c r="O121" s="79"/>
    </row>
    <row r="122" spans="2:15" outlineLevel="1" x14ac:dyDescent="0.2">
      <c r="B122" s="722" t="s">
        <v>282</v>
      </c>
      <c r="C122" s="80"/>
      <c r="D122" s="275">
        <v>0</v>
      </c>
      <c r="E122" s="275">
        <v>0</v>
      </c>
      <c r="F122" s="275">
        <v>0</v>
      </c>
      <c r="G122" s="275">
        <v>0</v>
      </c>
      <c r="H122" s="275">
        <v>0</v>
      </c>
      <c r="I122" s="275">
        <v>0</v>
      </c>
      <c r="J122" s="275">
        <v>0</v>
      </c>
      <c r="K122" s="275">
        <v>0</v>
      </c>
      <c r="L122" s="275">
        <v>0</v>
      </c>
      <c r="M122" s="275">
        <v>0</v>
      </c>
      <c r="N122" s="275">
        <v>0</v>
      </c>
      <c r="O122" s="186"/>
    </row>
    <row r="123" spans="2:15" outlineLevel="1" x14ac:dyDescent="0.2">
      <c r="B123" s="722" t="s">
        <v>1</v>
      </c>
      <c r="C123" s="134">
        <f t="shared" ref="C123:N123" si="72">+C120*C117</f>
        <v>2354758.5024000001</v>
      </c>
      <c r="D123" s="134">
        <f t="shared" si="72"/>
        <v>2354758.5024000001</v>
      </c>
      <c r="E123" s="134">
        <f t="shared" si="72"/>
        <v>2354758.5024000001</v>
      </c>
      <c r="F123" s="134">
        <f t="shared" si="72"/>
        <v>2354758.5024000001</v>
      </c>
      <c r="G123" s="134">
        <f t="shared" si="72"/>
        <v>2354758.5024000001</v>
      </c>
      <c r="H123" s="134">
        <f t="shared" si="72"/>
        <v>2354758.5024000001</v>
      </c>
      <c r="I123" s="134">
        <f t="shared" si="72"/>
        <v>2354758.5024000001</v>
      </c>
      <c r="J123" s="134">
        <f t="shared" si="72"/>
        <v>2354758.5024000001</v>
      </c>
      <c r="K123" s="134">
        <f t="shared" si="72"/>
        <v>2354758.5024000001</v>
      </c>
      <c r="L123" s="134">
        <f t="shared" si="72"/>
        <v>2354758.5024000001</v>
      </c>
      <c r="M123" s="134">
        <f t="shared" si="72"/>
        <v>2354758.5024000001</v>
      </c>
      <c r="N123" s="134">
        <f t="shared" si="72"/>
        <v>2354758.5024000001</v>
      </c>
      <c r="O123" s="134">
        <f>SUM(C123:N123)</f>
        <v>28257102.0288</v>
      </c>
    </row>
    <row r="124" spans="2:15" ht="15" x14ac:dyDescent="0.25">
      <c r="B124" s="274" t="s">
        <v>485</v>
      </c>
      <c r="C124" s="81"/>
      <c r="D124" s="81"/>
      <c r="E124" s="81"/>
      <c r="F124" s="81"/>
      <c r="G124" s="81"/>
      <c r="H124" s="81"/>
      <c r="I124" s="81"/>
      <c r="J124" s="81"/>
      <c r="K124" s="81"/>
      <c r="L124" s="81"/>
      <c r="M124" s="81"/>
      <c r="N124" s="81"/>
      <c r="O124" s="81"/>
    </row>
    <row r="125" spans="2:15" outlineLevel="1" x14ac:dyDescent="0.2">
      <c r="B125" s="722" t="s">
        <v>283</v>
      </c>
      <c r="C125" s="186">
        <v>133.09</v>
      </c>
      <c r="D125" s="79">
        <f>+C125*(1+D127)</f>
        <v>133.09</v>
      </c>
      <c r="E125" s="79">
        <f t="shared" ref="E125:M125" si="73">+D125*(1+E127)</f>
        <v>133.09</v>
      </c>
      <c r="F125" s="79">
        <f t="shared" si="73"/>
        <v>133.09</v>
      </c>
      <c r="G125" s="79">
        <f t="shared" si="73"/>
        <v>133.09</v>
      </c>
      <c r="H125" s="79">
        <f t="shared" si="73"/>
        <v>133.09</v>
      </c>
      <c r="I125" s="79">
        <f t="shared" si="73"/>
        <v>133.09</v>
      </c>
      <c r="J125" s="79">
        <f t="shared" si="73"/>
        <v>133.09</v>
      </c>
      <c r="K125" s="79">
        <f t="shared" si="73"/>
        <v>133.09</v>
      </c>
      <c r="L125" s="79">
        <f t="shared" si="73"/>
        <v>133.09</v>
      </c>
      <c r="M125" s="79">
        <f t="shared" si="73"/>
        <v>133.09</v>
      </c>
      <c r="N125" s="79">
        <f>+M125*(1+N127)</f>
        <v>133.09</v>
      </c>
      <c r="O125" s="79">
        <f>SUM(C125:N125)</f>
        <v>1597.0799999999997</v>
      </c>
    </row>
    <row r="126" spans="2:15" outlineLevel="1" x14ac:dyDescent="0.2">
      <c r="B126" s="722"/>
      <c r="C126" s="32"/>
      <c r="D126" s="32"/>
      <c r="E126" s="32"/>
      <c r="F126" s="32"/>
      <c r="G126" s="32"/>
      <c r="H126" s="32"/>
      <c r="I126" s="32"/>
      <c r="J126" s="32"/>
      <c r="K126" s="32"/>
      <c r="L126" s="32"/>
      <c r="M126" s="32"/>
      <c r="N126" s="32"/>
      <c r="O126" s="79"/>
    </row>
    <row r="127" spans="2:15" outlineLevel="1" x14ac:dyDescent="0.2">
      <c r="B127" s="722" t="s">
        <v>282</v>
      </c>
      <c r="C127" s="80"/>
      <c r="D127" s="275"/>
      <c r="E127" s="275"/>
      <c r="F127" s="275"/>
      <c r="G127" s="275"/>
      <c r="H127" s="275"/>
      <c r="I127" s="275"/>
      <c r="J127" s="275"/>
      <c r="K127" s="275"/>
      <c r="L127" s="275"/>
      <c r="M127" s="275"/>
      <c r="N127" s="275"/>
      <c r="O127" s="186"/>
    </row>
    <row r="128" spans="2:15" outlineLevel="1" x14ac:dyDescent="0.2">
      <c r="B128" s="722" t="s">
        <v>249</v>
      </c>
      <c r="C128" s="186">
        <v>1367.66</v>
      </c>
      <c r="D128" s="79">
        <f>+C128*(1+D130)</f>
        <v>1367.66</v>
      </c>
      <c r="E128" s="79">
        <f t="shared" ref="E128:M128" si="74">+D128*(1+E130)</f>
        <v>1367.66</v>
      </c>
      <c r="F128" s="79">
        <f t="shared" si="74"/>
        <v>1367.66</v>
      </c>
      <c r="G128" s="79">
        <f t="shared" si="74"/>
        <v>1367.66</v>
      </c>
      <c r="H128" s="79">
        <f t="shared" si="74"/>
        <v>1367.66</v>
      </c>
      <c r="I128" s="79">
        <f t="shared" si="74"/>
        <v>1367.66</v>
      </c>
      <c r="J128" s="79">
        <f t="shared" si="74"/>
        <v>1367.66</v>
      </c>
      <c r="K128" s="79">
        <f t="shared" si="74"/>
        <v>1367.66</v>
      </c>
      <c r="L128" s="79">
        <f t="shared" si="74"/>
        <v>1367.66</v>
      </c>
      <c r="M128" s="79">
        <f t="shared" si="74"/>
        <v>1367.66</v>
      </c>
      <c r="N128" s="79">
        <f>+M128*(1+N130)</f>
        <v>1367.66</v>
      </c>
      <c r="O128" s="79">
        <f>+N128</f>
        <v>1367.66</v>
      </c>
    </row>
    <row r="129" spans="2:15" outlineLevel="1" x14ac:dyDescent="0.2">
      <c r="B129" s="722"/>
      <c r="C129" s="32"/>
      <c r="D129" s="32"/>
      <c r="E129" s="32"/>
      <c r="F129" s="32"/>
      <c r="G129" s="32"/>
      <c r="H129" s="32"/>
      <c r="I129" s="32"/>
      <c r="J129" s="32"/>
      <c r="K129" s="32"/>
      <c r="L129" s="32"/>
      <c r="M129" s="32"/>
      <c r="N129" s="32"/>
      <c r="O129" s="79"/>
    </row>
    <row r="130" spans="2:15" outlineLevel="1" x14ac:dyDescent="0.2">
      <c r="B130" s="722" t="s">
        <v>282</v>
      </c>
      <c r="C130" s="80"/>
      <c r="D130" s="275">
        <v>0</v>
      </c>
      <c r="E130" s="275">
        <v>0</v>
      </c>
      <c r="F130" s="275">
        <v>0</v>
      </c>
      <c r="G130" s="275">
        <v>0</v>
      </c>
      <c r="H130" s="275">
        <v>0</v>
      </c>
      <c r="I130" s="275">
        <v>0</v>
      </c>
      <c r="J130" s="275">
        <v>0</v>
      </c>
      <c r="K130" s="275">
        <v>0</v>
      </c>
      <c r="L130" s="275">
        <v>0</v>
      </c>
      <c r="M130" s="275">
        <v>0</v>
      </c>
      <c r="N130" s="275">
        <v>0</v>
      </c>
      <c r="O130" s="186"/>
    </row>
    <row r="131" spans="2:15" outlineLevel="1" x14ac:dyDescent="0.2">
      <c r="B131" s="722" t="s">
        <v>1</v>
      </c>
      <c r="C131" s="134">
        <f t="shared" ref="C131:N131" si="75">+C128*C125</f>
        <v>182021.86940000003</v>
      </c>
      <c r="D131" s="134">
        <f t="shared" si="75"/>
        <v>182021.86940000003</v>
      </c>
      <c r="E131" s="134">
        <f t="shared" si="75"/>
        <v>182021.86940000003</v>
      </c>
      <c r="F131" s="134">
        <f t="shared" si="75"/>
        <v>182021.86940000003</v>
      </c>
      <c r="G131" s="134">
        <f t="shared" si="75"/>
        <v>182021.86940000003</v>
      </c>
      <c r="H131" s="134">
        <f t="shared" si="75"/>
        <v>182021.86940000003</v>
      </c>
      <c r="I131" s="134">
        <f t="shared" si="75"/>
        <v>182021.86940000003</v>
      </c>
      <c r="J131" s="134">
        <f t="shared" si="75"/>
        <v>182021.86940000003</v>
      </c>
      <c r="K131" s="134">
        <f t="shared" si="75"/>
        <v>182021.86940000003</v>
      </c>
      <c r="L131" s="134">
        <f t="shared" si="75"/>
        <v>182021.86940000003</v>
      </c>
      <c r="M131" s="134">
        <f t="shared" si="75"/>
        <v>182021.86940000003</v>
      </c>
      <c r="N131" s="134">
        <f t="shared" si="75"/>
        <v>182021.86940000003</v>
      </c>
      <c r="O131" s="134">
        <f>SUM(C131:N131)</f>
        <v>2184262.4328000001</v>
      </c>
    </row>
    <row r="132" spans="2:15" ht="15" x14ac:dyDescent="0.25">
      <c r="B132" s="274" t="s">
        <v>486</v>
      </c>
      <c r="C132" s="82"/>
      <c r="D132" s="82"/>
      <c r="E132" s="82"/>
      <c r="F132" s="82"/>
      <c r="G132" s="82"/>
      <c r="H132" s="82"/>
      <c r="I132" s="82"/>
      <c r="J132" s="82"/>
      <c r="K132" s="82"/>
      <c r="L132" s="82"/>
      <c r="M132" s="82"/>
      <c r="N132" s="82"/>
      <c r="O132" s="82"/>
    </row>
    <row r="133" spans="2:15" outlineLevel="1" x14ac:dyDescent="0.2">
      <c r="B133" s="722" t="s">
        <v>283</v>
      </c>
      <c r="C133" s="186">
        <v>3145.78</v>
      </c>
      <c r="D133" s="79">
        <f>+C133*(1+D135)</f>
        <v>3145.78</v>
      </c>
      <c r="E133" s="79">
        <f t="shared" ref="E133:M133" si="76">+D133*(1+E135)</f>
        <v>3145.78</v>
      </c>
      <c r="F133" s="79">
        <f t="shared" si="76"/>
        <v>3145.78</v>
      </c>
      <c r="G133" s="79">
        <f t="shared" si="76"/>
        <v>3145.78</v>
      </c>
      <c r="H133" s="79">
        <f t="shared" si="76"/>
        <v>3145.78</v>
      </c>
      <c r="I133" s="79">
        <f t="shared" si="76"/>
        <v>3145.78</v>
      </c>
      <c r="J133" s="79">
        <f t="shared" si="76"/>
        <v>3145.78</v>
      </c>
      <c r="K133" s="79">
        <f t="shared" si="76"/>
        <v>3145.78</v>
      </c>
      <c r="L133" s="79">
        <f t="shared" si="76"/>
        <v>3145.78</v>
      </c>
      <c r="M133" s="79">
        <f t="shared" si="76"/>
        <v>3145.78</v>
      </c>
      <c r="N133" s="79">
        <f>+M133*(1+N135)</f>
        <v>3145.78</v>
      </c>
      <c r="O133" s="79">
        <f>SUM(C133:N133)</f>
        <v>37749.359999999993</v>
      </c>
    </row>
    <row r="134" spans="2:15" outlineLevel="1" x14ac:dyDescent="0.2">
      <c r="B134" s="722"/>
      <c r="C134" s="32"/>
      <c r="D134" s="32"/>
      <c r="E134" s="32"/>
      <c r="F134" s="32"/>
      <c r="G134" s="32"/>
      <c r="H134" s="32"/>
      <c r="I134" s="32"/>
      <c r="J134" s="32"/>
      <c r="K134" s="32"/>
      <c r="L134" s="32"/>
      <c r="M134" s="32"/>
      <c r="N134" s="32"/>
      <c r="O134" s="79"/>
    </row>
    <row r="135" spans="2:15" outlineLevel="1" x14ac:dyDescent="0.2">
      <c r="B135" s="722" t="s">
        <v>282</v>
      </c>
      <c r="C135" s="80"/>
      <c r="D135" s="275"/>
      <c r="E135" s="275"/>
      <c r="F135" s="275"/>
      <c r="G135" s="275"/>
      <c r="H135" s="275"/>
      <c r="I135" s="275"/>
      <c r="J135" s="275"/>
      <c r="K135" s="275"/>
      <c r="L135" s="275"/>
      <c r="M135" s="275"/>
      <c r="N135" s="275"/>
      <c r="O135" s="186"/>
    </row>
    <row r="136" spans="2:15" outlineLevel="1" x14ac:dyDescent="0.2">
      <c r="B136" s="722" t="s">
        <v>249</v>
      </c>
      <c r="C136" s="186">
        <v>2257.1999999999998</v>
      </c>
      <c r="D136" s="79">
        <f>+C136*(1+D138)</f>
        <v>2257.1999999999998</v>
      </c>
      <c r="E136" s="79">
        <f t="shared" ref="E136:M136" si="77">+D136*(1+E138)</f>
        <v>2257.1999999999998</v>
      </c>
      <c r="F136" s="79">
        <f t="shared" si="77"/>
        <v>2257.1999999999998</v>
      </c>
      <c r="G136" s="79">
        <f t="shared" si="77"/>
        <v>2257.1999999999998</v>
      </c>
      <c r="H136" s="79">
        <f t="shared" si="77"/>
        <v>2257.1999999999998</v>
      </c>
      <c r="I136" s="79">
        <f t="shared" si="77"/>
        <v>2257.1999999999998</v>
      </c>
      <c r="J136" s="79">
        <f t="shared" si="77"/>
        <v>2257.1999999999998</v>
      </c>
      <c r="K136" s="79">
        <f t="shared" si="77"/>
        <v>2257.1999999999998</v>
      </c>
      <c r="L136" s="79">
        <f t="shared" si="77"/>
        <v>2257.1999999999998</v>
      </c>
      <c r="M136" s="79">
        <f t="shared" si="77"/>
        <v>2257.1999999999998</v>
      </c>
      <c r="N136" s="79">
        <f>+M136*(1+N138)</f>
        <v>2257.1999999999998</v>
      </c>
      <c r="O136" s="79">
        <f>+N136</f>
        <v>2257.1999999999998</v>
      </c>
    </row>
    <row r="137" spans="2:15" outlineLevel="1" x14ac:dyDescent="0.2">
      <c r="B137" s="722"/>
      <c r="C137" s="32"/>
      <c r="D137" s="32"/>
      <c r="E137" s="32"/>
      <c r="F137" s="32"/>
      <c r="G137" s="32"/>
      <c r="H137" s="32"/>
      <c r="I137" s="32"/>
      <c r="J137" s="32"/>
      <c r="K137" s="32"/>
      <c r="L137" s="32"/>
      <c r="M137" s="32"/>
      <c r="N137" s="32"/>
      <c r="O137" s="79"/>
    </row>
    <row r="138" spans="2:15" outlineLevel="1" x14ac:dyDescent="0.2">
      <c r="B138" s="722" t="s">
        <v>282</v>
      </c>
      <c r="C138" s="80"/>
      <c r="D138" s="275">
        <v>0</v>
      </c>
      <c r="E138" s="275">
        <v>0</v>
      </c>
      <c r="F138" s="275">
        <v>0</v>
      </c>
      <c r="G138" s="275">
        <v>0</v>
      </c>
      <c r="H138" s="275">
        <v>0</v>
      </c>
      <c r="I138" s="275">
        <v>0</v>
      </c>
      <c r="J138" s="275">
        <v>0</v>
      </c>
      <c r="K138" s="275">
        <v>0</v>
      </c>
      <c r="L138" s="275">
        <v>0</v>
      </c>
      <c r="M138" s="275">
        <v>0</v>
      </c>
      <c r="N138" s="275">
        <v>0</v>
      </c>
      <c r="O138" s="186"/>
    </row>
    <row r="139" spans="2:15" outlineLevel="1" x14ac:dyDescent="0.2">
      <c r="B139" s="722" t="s">
        <v>1</v>
      </c>
      <c r="C139" s="134">
        <f t="shared" ref="C139:N139" si="78">+C136*C133</f>
        <v>7100654.6159999995</v>
      </c>
      <c r="D139" s="134">
        <f t="shared" si="78"/>
        <v>7100654.6159999995</v>
      </c>
      <c r="E139" s="134">
        <f t="shared" si="78"/>
        <v>7100654.6159999995</v>
      </c>
      <c r="F139" s="134">
        <f t="shared" si="78"/>
        <v>7100654.6159999995</v>
      </c>
      <c r="G139" s="134">
        <f t="shared" si="78"/>
        <v>7100654.6159999995</v>
      </c>
      <c r="H139" s="134">
        <f t="shared" si="78"/>
        <v>7100654.6159999995</v>
      </c>
      <c r="I139" s="134">
        <f t="shared" si="78"/>
        <v>7100654.6159999995</v>
      </c>
      <c r="J139" s="134">
        <f t="shared" si="78"/>
        <v>7100654.6159999995</v>
      </c>
      <c r="K139" s="134">
        <f t="shared" si="78"/>
        <v>7100654.6159999995</v>
      </c>
      <c r="L139" s="134">
        <f t="shared" si="78"/>
        <v>7100654.6159999995</v>
      </c>
      <c r="M139" s="134">
        <f t="shared" si="78"/>
        <v>7100654.6159999995</v>
      </c>
      <c r="N139" s="134">
        <f t="shared" si="78"/>
        <v>7100654.6159999995</v>
      </c>
      <c r="O139" s="134">
        <f>SUM(C139:N139)</f>
        <v>85207855.391999975</v>
      </c>
    </row>
    <row r="140" spans="2:15" ht="15" x14ac:dyDescent="0.25">
      <c r="B140" s="274" t="s">
        <v>487</v>
      </c>
      <c r="C140" s="81"/>
      <c r="D140" s="81"/>
      <c r="E140" s="81"/>
      <c r="F140" s="81"/>
      <c r="G140" s="81"/>
      <c r="H140" s="81"/>
      <c r="I140" s="81"/>
      <c r="J140" s="81"/>
      <c r="K140" s="81"/>
      <c r="L140" s="81"/>
      <c r="M140" s="81"/>
      <c r="N140" s="81"/>
      <c r="O140" s="81"/>
    </row>
    <row r="141" spans="2:15" outlineLevel="1" x14ac:dyDescent="0.2">
      <c r="B141" s="722" t="s">
        <v>283</v>
      </c>
      <c r="C141" s="186">
        <v>1509.97</v>
      </c>
      <c r="D141" s="79">
        <f>+C141*(1+D143)</f>
        <v>1509.97</v>
      </c>
      <c r="E141" s="79">
        <f t="shared" ref="E141:M141" si="79">+D141*(1+E143)</f>
        <v>1509.97</v>
      </c>
      <c r="F141" s="79">
        <f t="shared" si="79"/>
        <v>1509.97</v>
      </c>
      <c r="G141" s="79">
        <f t="shared" si="79"/>
        <v>1509.97</v>
      </c>
      <c r="H141" s="79">
        <f t="shared" si="79"/>
        <v>1509.97</v>
      </c>
      <c r="I141" s="79">
        <f t="shared" si="79"/>
        <v>1509.97</v>
      </c>
      <c r="J141" s="79">
        <f t="shared" si="79"/>
        <v>1509.97</v>
      </c>
      <c r="K141" s="79">
        <f t="shared" si="79"/>
        <v>1509.97</v>
      </c>
      <c r="L141" s="79">
        <f t="shared" si="79"/>
        <v>1509.97</v>
      </c>
      <c r="M141" s="79">
        <f t="shared" si="79"/>
        <v>1509.97</v>
      </c>
      <c r="N141" s="79">
        <f>+M141*(1+N143)</f>
        <v>1509.97</v>
      </c>
      <c r="O141" s="79">
        <f>SUM(C141:N141)</f>
        <v>18119.64</v>
      </c>
    </row>
    <row r="142" spans="2:15" outlineLevel="1" x14ac:dyDescent="0.2">
      <c r="B142" s="722"/>
      <c r="C142" s="32"/>
      <c r="D142" s="32"/>
      <c r="E142" s="32"/>
      <c r="F142" s="32"/>
      <c r="G142" s="32"/>
      <c r="H142" s="32"/>
      <c r="I142" s="32"/>
      <c r="J142" s="32"/>
      <c r="K142" s="32"/>
      <c r="L142" s="32"/>
      <c r="M142" s="32"/>
      <c r="N142" s="32"/>
      <c r="O142" s="79"/>
    </row>
    <row r="143" spans="2:15" outlineLevel="1" x14ac:dyDescent="0.2">
      <c r="B143" s="722" t="s">
        <v>282</v>
      </c>
      <c r="C143" s="80"/>
      <c r="D143" s="275"/>
      <c r="E143" s="275"/>
      <c r="F143" s="275"/>
      <c r="G143" s="275"/>
      <c r="H143" s="275"/>
      <c r="I143" s="275"/>
      <c r="J143" s="275"/>
      <c r="K143" s="275"/>
      <c r="L143" s="275"/>
      <c r="M143" s="275"/>
      <c r="N143" s="275"/>
      <c r="O143" s="186"/>
    </row>
    <row r="144" spans="2:15" outlineLevel="1" x14ac:dyDescent="0.2">
      <c r="B144" s="722" t="s">
        <v>249</v>
      </c>
      <c r="C144" s="186">
        <v>2975.4</v>
      </c>
      <c r="D144" s="79">
        <f>+C144*(1+D146)</f>
        <v>2975.4</v>
      </c>
      <c r="E144" s="79">
        <f t="shared" ref="E144:M144" si="80">+D144*(1+E146)</f>
        <v>2975.4</v>
      </c>
      <c r="F144" s="79">
        <f t="shared" si="80"/>
        <v>2975.4</v>
      </c>
      <c r="G144" s="79">
        <f t="shared" si="80"/>
        <v>2975.4</v>
      </c>
      <c r="H144" s="79">
        <f t="shared" si="80"/>
        <v>2975.4</v>
      </c>
      <c r="I144" s="79">
        <f t="shared" si="80"/>
        <v>2975.4</v>
      </c>
      <c r="J144" s="79">
        <f t="shared" si="80"/>
        <v>2975.4</v>
      </c>
      <c r="K144" s="79">
        <f t="shared" si="80"/>
        <v>2975.4</v>
      </c>
      <c r="L144" s="79">
        <f t="shared" si="80"/>
        <v>2975.4</v>
      </c>
      <c r="M144" s="79">
        <f t="shared" si="80"/>
        <v>2975.4</v>
      </c>
      <c r="N144" s="79">
        <f>+M144*(1+N146)</f>
        <v>2975.4</v>
      </c>
      <c r="O144" s="79">
        <f>+N144</f>
        <v>2975.4</v>
      </c>
    </row>
    <row r="145" spans="2:15" outlineLevel="1" x14ac:dyDescent="0.2">
      <c r="B145" s="722"/>
      <c r="C145" s="733"/>
      <c r="D145" s="32"/>
      <c r="E145" s="32"/>
      <c r="F145" s="32"/>
      <c r="G145" s="32"/>
      <c r="H145" s="32"/>
      <c r="I145" s="32"/>
      <c r="J145" s="32"/>
      <c r="K145" s="32"/>
      <c r="L145" s="32"/>
      <c r="M145" s="32"/>
      <c r="N145" s="32"/>
      <c r="O145" s="79"/>
    </row>
    <row r="146" spans="2:15" outlineLevel="1" x14ac:dyDescent="0.2">
      <c r="B146" s="722" t="s">
        <v>282</v>
      </c>
      <c r="C146" s="80"/>
      <c r="D146" s="275">
        <v>0</v>
      </c>
      <c r="E146" s="275">
        <v>0</v>
      </c>
      <c r="F146" s="275">
        <v>0</v>
      </c>
      <c r="G146" s="275">
        <v>0</v>
      </c>
      <c r="H146" s="275">
        <v>0</v>
      </c>
      <c r="I146" s="275">
        <v>0</v>
      </c>
      <c r="J146" s="275">
        <v>0</v>
      </c>
      <c r="K146" s="275">
        <v>0</v>
      </c>
      <c r="L146" s="275">
        <v>0</v>
      </c>
      <c r="M146" s="275">
        <v>0</v>
      </c>
      <c r="N146" s="275">
        <v>0</v>
      </c>
      <c r="O146" s="186"/>
    </row>
    <row r="147" spans="2:15" outlineLevel="1" x14ac:dyDescent="0.2">
      <c r="B147" s="722" t="s">
        <v>1</v>
      </c>
      <c r="C147" s="134">
        <f t="shared" ref="C147:N147" si="81">+C144*C141</f>
        <v>4492764.7379999999</v>
      </c>
      <c r="D147" s="134">
        <f t="shared" si="81"/>
        <v>4492764.7379999999</v>
      </c>
      <c r="E147" s="134">
        <f t="shared" si="81"/>
        <v>4492764.7379999999</v>
      </c>
      <c r="F147" s="134">
        <f t="shared" si="81"/>
        <v>4492764.7379999999</v>
      </c>
      <c r="G147" s="134">
        <f t="shared" si="81"/>
        <v>4492764.7379999999</v>
      </c>
      <c r="H147" s="134">
        <f t="shared" si="81"/>
        <v>4492764.7379999999</v>
      </c>
      <c r="I147" s="134">
        <f t="shared" si="81"/>
        <v>4492764.7379999999</v>
      </c>
      <c r="J147" s="134">
        <f t="shared" si="81"/>
        <v>4492764.7379999999</v>
      </c>
      <c r="K147" s="134">
        <f t="shared" si="81"/>
        <v>4492764.7379999999</v>
      </c>
      <c r="L147" s="134">
        <f t="shared" si="81"/>
        <v>4492764.7379999999</v>
      </c>
      <c r="M147" s="134">
        <f t="shared" si="81"/>
        <v>4492764.7379999999</v>
      </c>
      <c r="N147" s="134">
        <f t="shared" si="81"/>
        <v>4492764.7379999999</v>
      </c>
      <c r="O147" s="134">
        <f>SUM(C147:N147)</f>
        <v>53913176.855999984</v>
      </c>
    </row>
    <row r="148" spans="2:15" ht="15" x14ac:dyDescent="0.25">
      <c r="B148" s="274" t="s">
        <v>488</v>
      </c>
      <c r="C148" s="81"/>
      <c r="D148" s="81"/>
      <c r="E148" s="81"/>
      <c r="F148" s="81"/>
      <c r="G148" s="81"/>
      <c r="H148" s="81"/>
      <c r="I148" s="81"/>
      <c r="J148" s="81"/>
      <c r="K148" s="81"/>
      <c r="L148" s="81"/>
      <c r="M148" s="81"/>
      <c r="N148" s="81"/>
      <c r="O148" s="81"/>
    </row>
    <row r="149" spans="2:15" outlineLevel="1" x14ac:dyDescent="0.2">
      <c r="B149" s="722" t="s">
        <v>283</v>
      </c>
      <c r="C149" s="186">
        <v>290.38</v>
      </c>
      <c r="D149" s="79">
        <f>+C149*(1+D151)</f>
        <v>290.38</v>
      </c>
      <c r="E149" s="79">
        <f t="shared" ref="E149:M149" si="82">+D149*(1+E151)</f>
        <v>290.38</v>
      </c>
      <c r="F149" s="79">
        <f t="shared" si="82"/>
        <v>290.38</v>
      </c>
      <c r="G149" s="79">
        <f t="shared" si="82"/>
        <v>290.38</v>
      </c>
      <c r="H149" s="79">
        <f t="shared" si="82"/>
        <v>290.38</v>
      </c>
      <c r="I149" s="79">
        <f t="shared" si="82"/>
        <v>290.38</v>
      </c>
      <c r="J149" s="79">
        <f t="shared" si="82"/>
        <v>290.38</v>
      </c>
      <c r="K149" s="79">
        <f t="shared" si="82"/>
        <v>290.38</v>
      </c>
      <c r="L149" s="79">
        <f t="shared" si="82"/>
        <v>290.38</v>
      </c>
      <c r="M149" s="79">
        <f t="shared" si="82"/>
        <v>290.38</v>
      </c>
      <c r="N149" s="79">
        <f>+M149*(1+N151)</f>
        <v>290.38</v>
      </c>
      <c r="O149" s="79">
        <f>SUM(C149:N149)</f>
        <v>3484.5600000000009</v>
      </c>
    </row>
    <row r="150" spans="2:15" outlineLevel="1" x14ac:dyDescent="0.2">
      <c r="B150" s="722"/>
      <c r="C150" s="32"/>
      <c r="D150" s="32"/>
      <c r="E150" s="32"/>
      <c r="F150" s="32"/>
      <c r="G150" s="32"/>
      <c r="H150" s="32"/>
      <c r="I150" s="32"/>
      <c r="J150" s="32"/>
      <c r="K150" s="32"/>
      <c r="L150" s="32"/>
      <c r="M150" s="32"/>
      <c r="N150" s="32"/>
      <c r="O150" s="79"/>
    </row>
    <row r="151" spans="2:15" outlineLevel="1" x14ac:dyDescent="0.2">
      <c r="B151" s="722" t="s">
        <v>282</v>
      </c>
      <c r="C151" s="80"/>
      <c r="D151" s="275"/>
      <c r="E151" s="275"/>
      <c r="F151" s="275"/>
      <c r="G151" s="275"/>
      <c r="H151" s="275"/>
      <c r="I151" s="275"/>
      <c r="J151" s="275"/>
      <c r="K151" s="275"/>
      <c r="L151" s="275"/>
      <c r="M151" s="275"/>
      <c r="N151" s="275"/>
      <c r="O151" s="186"/>
    </row>
    <row r="152" spans="2:15" outlineLevel="1" x14ac:dyDescent="0.2">
      <c r="B152" s="722" t="s">
        <v>249</v>
      </c>
      <c r="C152" s="186">
        <v>923.4</v>
      </c>
      <c r="D152" s="79">
        <f>+C152*(1+D154)</f>
        <v>923.4</v>
      </c>
      <c r="E152" s="79">
        <f t="shared" ref="E152:M152" si="83">+D152*(1+E154)</f>
        <v>923.4</v>
      </c>
      <c r="F152" s="79">
        <f t="shared" si="83"/>
        <v>923.4</v>
      </c>
      <c r="G152" s="79">
        <f t="shared" si="83"/>
        <v>923.4</v>
      </c>
      <c r="H152" s="79">
        <f t="shared" si="83"/>
        <v>923.4</v>
      </c>
      <c r="I152" s="79">
        <f t="shared" si="83"/>
        <v>923.4</v>
      </c>
      <c r="J152" s="79">
        <f t="shared" si="83"/>
        <v>923.4</v>
      </c>
      <c r="K152" s="79">
        <f t="shared" si="83"/>
        <v>923.4</v>
      </c>
      <c r="L152" s="79">
        <f t="shared" si="83"/>
        <v>923.4</v>
      </c>
      <c r="M152" s="79">
        <f t="shared" si="83"/>
        <v>923.4</v>
      </c>
      <c r="N152" s="79">
        <f>+M152*(1+N154)</f>
        <v>923.4</v>
      </c>
      <c r="O152" s="79">
        <f>+N152</f>
        <v>923.4</v>
      </c>
    </row>
    <row r="153" spans="2:15" outlineLevel="1" x14ac:dyDescent="0.2">
      <c r="B153" s="722"/>
      <c r="C153" s="32"/>
      <c r="D153" s="32"/>
      <c r="E153" s="32"/>
      <c r="F153" s="32"/>
      <c r="G153" s="32"/>
      <c r="H153" s="32"/>
      <c r="I153" s="32"/>
      <c r="J153" s="32"/>
      <c r="K153" s="32"/>
      <c r="L153" s="32"/>
      <c r="M153" s="32"/>
      <c r="N153" s="32"/>
      <c r="O153" s="79"/>
    </row>
    <row r="154" spans="2:15" outlineLevel="1" x14ac:dyDescent="0.2">
      <c r="B154" s="722" t="s">
        <v>282</v>
      </c>
      <c r="C154" s="80"/>
      <c r="D154" s="275">
        <v>0</v>
      </c>
      <c r="E154" s="275">
        <v>0</v>
      </c>
      <c r="F154" s="275">
        <v>0</v>
      </c>
      <c r="G154" s="275">
        <v>0</v>
      </c>
      <c r="H154" s="275">
        <v>0</v>
      </c>
      <c r="I154" s="275">
        <v>0</v>
      </c>
      <c r="J154" s="275">
        <v>0</v>
      </c>
      <c r="K154" s="275">
        <v>0</v>
      </c>
      <c r="L154" s="275">
        <v>0</v>
      </c>
      <c r="M154" s="275">
        <v>0</v>
      </c>
      <c r="N154" s="275">
        <v>0</v>
      </c>
      <c r="O154" s="186"/>
    </row>
    <row r="155" spans="2:15" outlineLevel="1" x14ac:dyDescent="0.2">
      <c r="B155" s="722" t="s">
        <v>1</v>
      </c>
      <c r="C155" s="134">
        <f t="shared" ref="C155:N155" si="84">+C152*C149</f>
        <v>268136.89199999999</v>
      </c>
      <c r="D155" s="134">
        <f t="shared" si="84"/>
        <v>268136.89199999999</v>
      </c>
      <c r="E155" s="134">
        <f t="shared" si="84"/>
        <v>268136.89199999999</v>
      </c>
      <c r="F155" s="134">
        <f t="shared" si="84"/>
        <v>268136.89199999999</v>
      </c>
      <c r="G155" s="134">
        <f t="shared" si="84"/>
        <v>268136.89199999999</v>
      </c>
      <c r="H155" s="134">
        <f t="shared" si="84"/>
        <v>268136.89199999999</v>
      </c>
      <c r="I155" s="134">
        <f t="shared" si="84"/>
        <v>268136.89199999999</v>
      </c>
      <c r="J155" s="134">
        <f t="shared" si="84"/>
        <v>268136.89199999999</v>
      </c>
      <c r="K155" s="134">
        <f t="shared" si="84"/>
        <v>268136.89199999999</v>
      </c>
      <c r="L155" s="134">
        <f t="shared" si="84"/>
        <v>268136.89199999999</v>
      </c>
      <c r="M155" s="134">
        <f t="shared" si="84"/>
        <v>268136.89199999999</v>
      </c>
      <c r="N155" s="134">
        <f t="shared" si="84"/>
        <v>268136.89199999999</v>
      </c>
      <c r="O155" s="134">
        <f>SUM(C155:N155)</f>
        <v>3217642.7039999999</v>
      </c>
    </row>
    <row r="156" spans="2:15" ht="15" x14ac:dyDescent="0.25">
      <c r="B156" s="274" t="s">
        <v>489</v>
      </c>
      <c r="C156" s="81"/>
      <c r="D156" s="81"/>
      <c r="E156" s="81"/>
      <c r="F156" s="81"/>
      <c r="G156" s="81"/>
      <c r="H156" s="81"/>
      <c r="I156" s="81"/>
      <c r="J156" s="81"/>
      <c r="K156" s="81"/>
      <c r="L156" s="81"/>
      <c r="M156" s="81"/>
      <c r="N156" s="81"/>
      <c r="O156" s="81"/>
    </row>
    <row r="157" spans="2:15" outlineLevel="1" x14ac:dyDescent="0.2">
      <c r="B157" s="722" t="s">
        <v>283</v>
      </c>
      <c r="C157" s="186">
        <v>251.66</v>
      </c>
      <c r="D157" s="79">
        <f>+C157*(1+D159)</f>
        <v>251.66</v>
      </c>
      <c r="E157" s="79">
        <f t="shared" ref="E157:M157" si="85">+D157*(1+E159)</f>
        <v>251.66</v>
      </c>
      <c r="F157" s="79">
        <f t="shared" si="85"/>
        <v>251.66</v>
      </c>
      <c r="G157" s="79">
        <f t="shared" si="85"/>
        <v>251.66</v>
      </c>
      <c r="H157" s="79">
        <f t="shared" si="85"/>
        <v>251.66</v>
      </c>
      <c r="I157" s="79">
        <f t="shared" si="85"/>
        <v>251.66</v>
      </c>
      <c r="J157" s="79">
        <f t="shared" si="85"/>
        <v>251.66</v>
      </c>
      <c r="K157" s="79">
        <f t="shared" si="85"/>
        <v>251.66</v>
      </c>
      <c r="L157" s="79">
        <f t="shared" si="85"/>
        <v>251.66</v>
      </c>
      <c r="M157" s="79">
        <f t="shared" si="85"/>
        <v>251.66</v>
      </c>
      <c r="N157" s="79">
        <f>+M157*(1+N159)</f>
        <v>251.66</v>
      </c>
      <c r="O157" s="79">
        <f>SUM(C157:N157)</f>
        <v>3019.9199999999996</v>
      </c>
    </row>
    <row r="158" spans="2:15" outlineLevel="1" x14ac:dyDescent="0.2">
      <c r="B158" s="722"/>
      <c r="C158" s="32"/>
      <c r="D158" s="32"/>
      <c r="E158" s="32"/>
      <c r="F158" s="32"/>
      <c r="G158" s="32"/>
      <c r="H158" s="32"/>
      <c r="I158" s="32"/>
      <c r="J158" s="32"/>
      <c r="K158" s="32"/>
      <c r="L158" s="32"/>
      <c r="M158" s="32"/>
      <c r="N158" s="32"/>
      <c r="O158" s="79"/>
    </row>
    <row r="159" spans="2:15" outlineLevel="1" x14ac:dyDescent="0.2">
      <c r="B159" s="722" t="s">
        <v>282</v>
      </c>
      <c r="C159" s="80"/>
      <c r="D159" s="275"/>
      <c r="E159" s="275"/>
      <c r="F159" s="275"/>
      <c r="G159" s="275"/>
      <c r="H159" s="275"/>
      <c r="I159" s="275"/>
      <c r="J159" s="275"/>
      <c r="K159" s="275"/>
      <c r="L159" s="275"/>
      <c r="M159" s="275"/>
      <c r="N159" s="275"/>
      <c r="O159" s="186"/>
    </row>
    <row r="160" spans="2:15" outlineLevel="1" x14ac:dyDescent="0.2">
      <c r="B160" s="722" t="s">
        <v>249</v>
      </c>
      <c r="C160" s="186">
        <v>3078</v>
      </c>
      <c r="D160" s="79">
        <f>+C160*(1+D162)</f>
        <v>3078</v>
      </c>
      <c r="E160" s="79">
        <f t="shared" ref="E160:M160" si="86">+D160*(1+E162)</f>
        <v>3078</v>
      </c>
      <c r="F160" s="79">
        <f t="shared" si="86"/>
        <v>3078</v>
      </c>
      <c r="G160" s="79">
        <f t="shared" si="86"/>
        <v>3078</v>
      </c>
      <c r="H160" s="79">
        <f t="shared" si="86"/>
        <v>3078</v>
      </c>
      <c r="I160" s="79">
        <f t="shared" si="86"/>
        <v>3078</v>
      </c>
      <c r="J160" s="79">
        <f t="shared" si="86"/>
        <v>3078</v>
      </c>
      <c r="K160" s="79">
        <f t="shared" si="86"/>
        <v>3078</v>
      </c>
      <c r="L160" s="79">
        <f t="shared" si="86"/>
        <v>3078</v>
      </c>
      <c r="M160" s="79">
        <f t="shared" si="86"/>
        <v>3078</v>
      </c>
      <c r="N160" s="79">
        <f>+M160*(1+N162)</f>
        <v>3078</v>
      </c>
      <c r="O160" s="79">
        <f>+N160</f>
        <v>3078</v>
      </c>
    </row>
    <row r="161" spans="2:15" outlineLevel="1" x14ac:dyDescent="0.2">
      <c r="B161" s="722"/>
      <c r="C161" s="32"/>
      <c r="D161" s="32"/>
      <c r="E161" s="32"/>
      <c r="F161" s="32"/>
      <c r="G161" s="32"/>
      <c r="H161" s="32"/>
      <c r="I161" s="32"/>
      <c r="J161" s="32"/>
      <c r="K161" s="32"/>
      <c r="L161" s="32"/>
      <c r="M161" s="32"/>
      <c r="N161" s="32"/>
      <c r="O161" s="79"/>
    </row>
    <row r="162" spans="2:15" outlineLevel="1" x14ac:dyDescent="0.2">
      <c r="B162" s="722" t="s">
        <v>282</v>
      </c>
      <c r="C162" s="80"/>
      <c r="D162" s="275">
        <v>0</v>
      </c>
      <c r="E162" s="275">
        <v>0</v>
      </c>
      <c r="F162" s="275">
        <v>0</v>
      </c>
      <c r="G162" s="275">
        <v>0</v>
      </c>
      <c r="H162" s="275">
        <v>0</v>
      </c>
      <c r="I162" s="275">
        <v>0</v>
      </c>
      <c r="J162" s="275">
        <v>0</v>
      </c>
      <c r="K162" s="275">
        <v>0</v>
      </c>
      <c r="L162" s="275">
        <v>0</v>
      </c>
      <c r="M162" s="275">
        <v>0</v>
      </c>
      <c r="N162" s="275">
        <v>0</v>
      </c>
      <c r="O162" s="186"/>
    </row>
    <row r="163" spans="2:15" outlineLevel="1" x14ac:dyDescent="0.2">
      <c r="B163" s="722" t="s">
        <v>1</v>
      </c>
      <c r="C163" s="134">
        <f t="shared" ref="C163:N163" si="87">+C160*C157</f>
        <v>774609.48</v>
      </c>
      <c r="D163" s="134">
        <f t="shared" si="87"/>
        <v>774609.48</v>
      </c>
      <c r="E163" s="134">
        <f t="shared" si="87"/>
        <v>774609.48</v>
      </c>
      <c r="F163" s="134">
        <f t="shared" si="87"/>
        <v>774609.48</v>
      </c>
      <c r="G163" s="134">
        <f t="shared" si="87"/>
        <v>774609.48</v>
      </c>
      <c r="H163" s="134">
        <f t="shared" si="87"/>
        <v>774609.48</v>
      </c>
      <c r="I163" s="134">
        <f t="shared" si="87"/>
        <v>774609.48</v>
      </c>
      <c r="J163" s="134">
        <f t="shared" si="87"/>
        <v>774609.48</v>
      </c>
      <c r="K163" s="134">
        <f t="shared" si="87"/>
        <v>774609.48</v>
      </c>
      <c r="L163" s="134">
        <f t="shared" si="87"/>
        <v>774609.48</v>
      </c>
      <c r="M163" s="134">
        <f t="shared" si="87"/>
        <v>774609.48</v>
      </c>
      <c r="N163" s="134">
        <f t="shared" si="87"/>
        <v>774609.48</v>
      </c>
      <c r="O163" s="134">
        <f>SUM(C163:N163)</f>
        <v>9295313.7600000016</v>
      </c>
    </row>
    <row r="164" spans="2:15" ht="15" x14ac:dyDescent="0.25">
      <c r="B164" s="274" t="s">
        <v>490</v>
      </c>
      <c r="C164" s="81"/>
      <c r="D164" s="81"/>
      <c r="E164" s="81"/>
      <c r="F164" s="81"/>
      <c r="G164" s="81"/>
      <c r="H164" s="81"/>
      <c r="I164" s="81"/>
      <c r="J164" s="81"/>
      <c r="K164" s="81"/>
      <c r="L164" s="81"/>
      <c r="M164" s="81"/>
      <c r="N164" s="81"/>
      <c r="O164" s="81"/>
    </row>
    <row r="165" spans="2:15" outlineLevel="1" x14ac:dyDescent="0.2">
      <c r="B165" s="722" t="s">
        <v>283</v>
      </c>
      <c r="C165" s="186">
        <v>267.87</v>
      </c>
      <c r="D165" s="79">
        <f>+C165*(1+D167)</f>
        <v>267.87</v>
      </c>
      <c r="E165" s="79">
        <f t="shared" ref="E165:M165" si="88">+D165*(1+E167)</f>
        <v>267.87</v>
      </c>
      <c r="F165" s="79">
        <f t="shared" si="88"/>
        <v>267.87</v>
      </c>
      <c r="G165" s="79">
        <f t="shared" si="88"/>
        <v>267.87</v>
      </c>
      <c r="H165" s="79">
        <f t="shared" si="88"/>
        <v>267.87</v>
      </c>
      <c r="I165" s="79">
        <f t="shared" si="88"/>
        <v>267.87</v>
      </c>
      <c r="J165" s="79">
        <f t="shared" si="88"/>
        <v>267.87</v>
      </c>
      <c r="K165" s="79">
        <f t="shared" si="88"/>
        <v>267.87</v>
      </c>
      <c r="L165" s="79">
        <f t="shared" si="88"/>
        <v>267.87</v>
      </c>
      <c r="M165" s="79">
        <f t="shared" si="88"/>
        <v>267.87</v>
      </c>
      <c r="N165" s="79">
        <f>+M165*(1+N167)</f>
        <v>267.87</v>
      </c>
      <c r="O165" s="79">
        <f>SUM(C165:N165)</f>
        <v>3214.4399999999991</v>
      </c>
    </row>
    <row r="166" spans="2:15" outlineLevel="1" x14ac:dyDescent="0.2">
      <c r="B166" s="722"/>
      <c r="C166" s="32"/>
      <c r="D166" s="32"/>
      <c r="E166" s="32"/>
      <c r="F166" s="32"/>
      <c r="G166" s="32"/>
      <c r="H166" s="32"/>
      <c r="I166" s="32"/>
      <c r="J166" s="32"/>
      <c r="K166" s="32"/>
      <c r="L166" s="32"/>
      <c r="M166" s="32"/>
      <c r="N166" s="32"/>
      <c r="O166" s="79"/>
    </row>
    <row r="167" spans="2:15" outlineLevel="1" x14ac:dyDescent="0.2">
      <c r="B167" s="722" t="s">
        <v>282</v>
      </c>
      <c r="C167" s="80"/>
      <c r="D167" s="275"/>
      <c r="E167" s="275"/>
      <c r="F167" s="275"/>
      <c r="G167" s="275"/>
      <c r="H167" s="275"/>
      <c r="I167" s="275"/>
      <c r="J167" s="275"/>
      <c r="K167" s="275"/>
      <c r="L167" s="275"/>
      <c r="M167" s="275"/>
      <c r="N167" s="275"/>
      <c r="O167" s="186"/>
    </row>
    <row r="168" spans="2:15" outlineLevel="1" x14ac:dyDescent="0.2">
      <c r="B168" s="722" t="s">
        <v>249</v>
      </c>
      <c r="C168" s="186">
        <v>3214.46</v>
      </c>
      <c r="D168" s="79">
        <f>+C168*(1+D170)</f>
        <v>3214.46</v>
      </c>
      <c r="E168" s="79">
        <f t="shared" ref="E168:M168" si="89">+D168*(1+E170)</f>
        <v>3214.46</v>
      </c>
      <c r="F168" s="79">
        <f t="shared" si="89"/>
        <v>3214.46</v>
      </c>
      <c r="G168" s="79">
        <f t="shared" si="89"/>
        <v>3214.46</v>
      </c>
      <c r="H168" s="79">
        <f t="shared" si="89"/>
        <v>3214.46</v>
      </c>
      <c r="I168" s="79">
        <f t="shared" si="89"/>
        <v>3214.46</v>
      </c>
      <c r="J168" s="79">
        <f t="shared" si="89"/>
        <v>3214.46</v>
      </c>
      <c r="K168" s="79">
        <f t="shared" si="89"/>
        <v>3214.46</v>
      </c>
      <c r="L168" s="79">
        <f t="shared" si="89"/>
        <v>3214.46</v>
      </c>
      <c r="M168" s="79">
        <f t="shared" si="89"/>
        <v>3214.46</v>
      </c>
      <c r="N168" s="79">
        <f>+M168*(1+N170)</f>
        <v>3214.46</v>
      </c>
      <c r="O168" s="79">
        <f>+N168</f>
        <v>3214.46</v>
      </c>
    </row>
    <row r="169" spans="2:15" outlineLevel="1" x14ac:dyDescent="0.2">
      <c r="B169" s="722"/>
      <c r="C169" s="32"/>
      <c r="D169" s="32"/>
      <c r="E169" s="32"/>
      <c r="F169" s="32"/>
      <c r="G169" s="32"/>
      <c r="H169" s="32"/>
      <c r="I169" s="32"/>
      <c r="J169" s="32"/>
      <c r="K169" s="32"/>
      <c r="L169" s="32"/>
      <c r="M169" s="32"/>
      <c r="N169" s="32"/>
      <c r="O169" s="79"/>
    </row>
    <row r="170" spans="2:15" outlineLevel="1" x14ac:dyDescent="0.2">
      <c r="B170" s="722" t="s">
        <v>282</v>
      </c>
      <c r="C170" s="80"/>
      <c r="D170" s="275">
        <v>0</v>
      </c>
      <c r="E170" s="275">
        <v>0</v>
      </c>
      <c r="F170" s="275">
        <v>0</v>
      </c>
      <c r="G170" s="275">
        <v>0</v>
      </c>
      <c r="H170" s="275">
        <v>0</v>
      </c>
      <c r="I170" s="275">
        <v>0</v>
      </c>
      <c r="J170" s="275">
        <v>0</v>
      </c>
      <c r="K170" s="275">
        <v>0</v>
      </c>
      <c r="L170" s="275">
        <v>0</v>
      </c>
      <c r="M170" s="275">
        <v>0</v>
      </c>
      <c r="N170" s="275">
        <v>0</v>
      </c>
      <c r="O170" s="186"/>
    </row>
    <row r="171" spans="2:15" outlineLevel="1" x14ac:dyDescent="0.2">
      <c r="B171" s="722" t="s">
        <v>1</v>
      </c>
      <c r="C171" s="134">
        <f t="shared" ref="C171:N171" si="90">+C168*C165</f>
        <v>861057.40020000003</v>
      </c>
      <c r="D171" s="134">
        <f t="shared" si="90"/>
        <v>861057.40020000003</v>
      </c>
      <c r="E171" s="134">
        <f t="shared" si="90"/>
        <v>861057.40020000003</v>
      </c>
      <c r="F171" s="134">
        <f t="shared" si="90"/>
        <v>861057.40020000003</v>
      </c>
      <c r="G171" s="134">
        <f t="shared" si="90"/>
        <v>861057.40020000003</v>
      </c>
      <c r="H171" s="134">
        <f t="shared" si="90"/>
        <v>861057.40020000003</v>
      </c>
      <c r="I171" s="134">
        <f t="shared" si="90"/>
        <v>861057.40020000003</v>
      </c>
      <c r="J171" s="134">
        <f t="shared" si="90"/>
        <v>861057.40020000003</v>
      </c>
      <c r="K171" s="134">
        <f t="shared" si="90"/>
        <v>861057.40020000003</v>
      </c>
      <c r="L171" s="134">
        <f t="shared" si="90"/>
        <v>861057.40020000003</v>
      </c>
      <c r="M171" s="134">
        <f t="shared" si="90"/>
        <v>861057.40020000003</v>
      </c>
      <c r="N171" s="134">
        <f t="shared" si="90"/>
        <v>861057.40020000003</v>
      </c>
      <c r="O171" s="134">
        <f>SUM(C171:N171)</f>
        <v>10332688.8024</v>
      </c>
    </row>
    <row r="172" spans="2:15" ht="15" x14ac:dyDescent="0.25">
      <c r="B172" s="274" t="s">
        <v>491</v>
      </c>
      <c r="C172" s="81"/>
      <c r="D172" s="81"/>
      <c r="E172" s="81"/>
      <c r="F172" s="81"/>
      <c r="G172" s="81"/>
      <c r="H172" s="81"/>
      <c r="I172" s="81"/>
      <c r="J172" s="81"/>
      <c r="K172" s="81"/>
      <c r="L172" s="81"/>
      <c r="M172" s="81"/>
      <c r="N172" s="81"/>
      <c r="O172" s="81"/>
    </row>
    <row r="173" spans="2:15" outlineLevel="1" x14ac:dyDescent="0.2">
      <c r="B173" s="722" t="s">
        <v>283</v>
      </c>
      <c r="C173" s="186">
        <v>12043.5</v>
      </c>
      <c r="D173" s="79">
        <f>+C173*(1+D175)</f>
        <v>12043.5</v>
      </c>
      <c r="E173" s="79">
        <f t="shared" ref="E173:M173" si="91">+D173*(1+E175)</f>
        <v>12043.5</v>
      </c>
      <c r="F173" s="79">
        <f t="shared" si="91"/>
        <v>12043.5</v>
      </c>
      <c r="G173" s="79">
        <f t="shared" si="91"/>
        <v>12043.5</v>
      </c>
      <c r="H173" s="79">
        <f t="shared" si="91"/>
        <v>12043.5</v>
      </c>
      <c r="I173" s="79">
        <f t="shared" si="91"/>
        <v>12043.5</v>
      </c>
      <c r="J173" s="79">
        <f t="shared" si="91"/>
        <v>12043.5</v>
      </c>
      <c r="K173" s="79">
        <f t="shared" si="91"/>
        <v>12043.5</v>
      </c>
      <c r="L173" s="79">
        <f t="shared" si="91"/>
        <v>12043.5</v>
      </c>
      <c r="M173" s="79">
        <f t="shared" si="91"/>
        <v>12043.5</v>
      </c>
      <c r="N173" s="79">
        <f>+M173*(1+N175)</f>
        <v>12043.5</v>
      </c>
      <c r="O173" s="79">
        <f>SUM(C173:N173)</f>
        <v>144522</v>
      </c>
    </row>
    <row r="174" spans="2:15" outlineLevel="1" x14ac:dyDescent="0.2">
      <c r="B174" s="722"/>
      <c r="C174" s="32"/>
      <c r="D174" s="32"/>
      <c r="E174" s="32"/>
      <c r="F174" s="32"/>
      <c r="G174" s="32"/>
      <c r="H174" s="32"/>
      <c r="I174" s="32"/>
      <c r="J174" s="32"/>
      <c r="K174" s="32"/>
      <c r="L174" s="32"/>
      <c r="M174" s="32"/>
      <c r="N174" s="32"/>
      <c r="O174" s="79"/>
    </row>
    <row r="175" spans="2:15" outlineLevel="1" x14ac:dyDescent="0.2">
      <c r="B175" s="722" t="s">
        <v>282</v>
      </c>
      <c r="C175" s="80"/>
      <c r="D175" s="275"/>
      <c r="E175" s="275"/>
      <c r="F175" s="275"/>
      <c r="G175" s="275"/>
      <c r="H175" s="275"/>
      <c r="I175" s="275"/>
      <c r="J175" s="275"/>
      <c r="K175" s="275"/>
      <c r="L175" s="275"/>
      <c r="M175" s="275"/>
      <c r="N175" s="275"/>
      <c r="O175" s="186"/>
    </row>
    <row r="176" spans="2:15" outlineLevel="1" x14ac:dyDescent="0.2">
      <c r="B176" s="722" t="s">
        <v>249</v>
      </c>
      <c r="C176" s="186">
        <v>1505.14</v>
      </c>
      <c r="D176" s="79">
        <f>+C176*(1+D178)</f>
        <v>1505.14</v>
      </c>
      <c r="E176" s="79">
        <f t="shared" ref="E176:M176" si="92">+D176*(1+E178)</f>
        <v>1505.14</v>
      </c>
      <c r="F176" s="79">
        <f t="shared" si="92"/>
        <v>1505.14</v>
      </c>
      <c r="G176" s="79">
        <f t="shared" si="92"/>
        <v>1505.14</v>
      </c>
      <c r="H176" s="79">
        <f t="shared" si="92"/>
        <v>1505.14</v>
      </c>
      <c r="I176" s="79">
        <f t="shared" si="92"/>
        <v>1505.14</v>
      </c>
      <c r="J176" s="79">
        <f t="shared" si="92"/>
        <v>1505.14</v>
      </c>
      <c r="K176" s="79">
        <f t="shared" si="92"/>
        <v>1505.14</v>
      </c>
      <c r="L176" s="79">
        <f t="shared" si="92"/>
        <v>1505.14</v>
      </c>
      <c r="M176" s="79">
        <f t="shared" si="92"/>
        <v>1505.14</v>
      </c>
      <c r="N176" s="79">
        <f>+M176*(1+N178)</f>
        <v>1505.14</v>
      </c>
      <c r="O176" s="79">
        <f>+N176</f>
        <v>1505.14</v>
      </c>
    </row>
    <row r="177" spans="2:15" outlineLevel="1" x14ac:dyDescent="0.2">
      <c r="B177" s="722"/>
      <c r="C177" s="32"/>
      <c r="D177" s="32"/>
      <c r="E177" s="32"/>
      <c r="F177" s="32"/>
      <c r="G177" s="32"/>
      <c r="H177" s="32"/>
      <c r="I177" s="32"/>
      <c r="J177" s="32"/>
      <c r="K177" s="32"/>
      <c r="L177" s="32"/>
      <c r="M177" s="32"/>
      <c r="N177" s="32"/>
      <c r="O177" s="79"/>
    </row>
    <row r="178" spans="2:15" outlineLevel="1" x14ac:dyDescent="0.2">
      <c r="B178" s="722" t="s">
        <v>282</v>
      </c>
      <c r="C178" s="80"/>
      <c r="D178" s="275">
        <v>0</v>
      </c>
      <c r="E178" s="275">
        <v>0</v>
      </c>
      <c r="F178" s="275">
        <v>0</v>
      </c>
      <c r="G178" s="275">
        <v>0</v>
      </c>
      <c r="H178" s="275">
        <v>0</v>
      </c>
      <c r="I178" s="275">
        <v>0</v>
      </c>
      <c r="J178" s="275">
        <v>0</v>
      </c>
      <c r="K178" s="275">
        <v>0</v>
      </c>
      <c r="L178" s="275">
        <v>0</v>
      </c>
      <c r="M178" s="275">
        <v>0</v>
      </c>
      <c r="N178" s="275">
        <v>0</v>
      </c>
      <c r="O178" s="186"/>
    </row>
    <row r="179" spans="2:15" outlineLevel="1" x14ac:dyDescent="0.2">
      <c r="B179" s="722" t="s">
        <v>1</v>
      </c>
      <c r="C179" s="134">
        <f t="shared" ref="C179:N179" si="93">+C176*C173</f>
        <v>18127153.59</v>
      </c>
      <c r="D179" s="134">
        <f t="shared" si="93"/>
        <v>18127153.59</v>
      </c>
      <c r="E179" s="134">
        <f t="shared" si="93"/>
        <v>18127153.59</v>
      </c>
      <c r="F179" s="134">
        <f t="shared" si="93"/>
        <v>18127153.59</v>
      </c>
      <c r="G179" s="134">
        <f t="shared" si="93"/>
        <v>18127153.59</v>
      </c>
      <c r="H179" s="134">
        <f t="shared" si="93"/>
        <v>18127153.59</v>
      </c>
      <c r="I179" s="134">
        <f t="shared" si="93"/>
        <v>18127153.59</v>
      </c>
      <c r="J179" s="134">
        <f t="shared" si="93"/>
        <v>18127153.59</v>
      </c>
      <c r="K179" s="134">
        <f t="shared" si="93"/>
        <v>18127153.59</v>
      </c>
      <c r="L179" s="134">
        <f t="shared" si="93"/>
        <v>18127153.59</v>
      </c>
      <c r="M179" s="134">
        <f t="shared" si="93"/>
        <v>18127153.59</v>
      </c>
      <c r="N179" s="134">
        <f t="shared" si="93"/>
        <v>18127153.59</v>
      </c>
      <c r="O179" s="134">
        <f>SUM(C179:N179)</f>
        <v>217525843.08000001</v>
      </c>
    </row>
    <row r="180" spans="2:15" ht="15" x14ac:dyDescent="0.25">
      <c r="B180" s="274" t="s">
        <v>492</v>
      </c>
      <c r="C180" s="81"/>
      <c r="D180" s="81"/>
      <c r="E180" s="81"/>
      <c r="F180" s="81"/>
      <c r="G180" s="81"/>
      <c r="H180" s="81"/>
      <c r="I180" s="81"/>
      <c r="J180" s="81"/>
      <c r="K180" s="81"/>
      <c r="L180" s="81"/>
      <c r="M180" s="81"/>
      <c r="N180" s="81"/>
      <c r="O180" s="81"/>
    </row>
    <row r="181" spans="2:15" outlineLevel="1" x14ac:dyDescent="0.2">
      <c r="B181" s="722" t="s">
        <v>283</v>
      </c>
      <c r="C181" s="186">
        <v>155.84</v>
      </c>
      <c r="D181" s="79">
        <f>+C181*(1+D183)</f>
        <v>155.84</v>
      </c>
      <c r="E181" s="79">
        <f t="shared" ref="E181:M181" si="94">+D181*(1+E183)</f>
        <v>155.84</v>
      </c>
      <c r="F181" s="79">
        <f t="shared" si="94"/>
        <v>155.84</v>
      </c>
      <c r="G181" s="79">
        <f t="shared" si="94"/>
        <v>155.84</v>
      </c>
      <c r="H181" s="79">
        <f t="shared" si="94"/>
        <v>155.84</v>
      </c>
      <c r="I181" s="79">
        <f t="shared" si="94"/>
        <v>155.84</v>
      </c>
      <c r="J181" s="79">
        <f t="shared" si="94"/>
        <v>155.84</v>
      </c>
      <c r="K181" s="79">
        <f t="shared" si="94"/>
        <v>155.84</v>
      </c>
      <c r="L181" s="79">
        <f t="shared" si="94"/>
        <v>155.84</v>
      </c>
      <c r="M181" s="79">
        <f t="shared" si="94"/>
        <v>155.84</v>
      </c>
      <c r="N181" s="79">
        <f>+M181*(1+N183)</f>
        <v>155.84</v>
      </c>
      <c r="O181" s="79">
        <f>SUM(C181:N181)</f>
        <v>1870.0799999999997</v>
      </c>
    </row>
    <row r="182" spans="2:15" outlineLevel="1" x14ac:dyDescent="0.2">
      <c r="B182" s="722"/>
      <c r="C182" s="32"/>
      <c r="D182" s="32"/>
      <c r="E182" s="32"/>
      <c r="F182" s="32"/>
      <c r="G182" s="32"/>
      <c r="H182" s="32"/>
      <c r="I182" s="32"/>
      <c r="J182" s="32"/>
      <c r="K182" s="32"/>
      <c r="L182" s="32"/>
      <c r="M182" s="32"/>
      <c r="N182" s="32"/>
      <c r="O182" s="79"/>
    </row>
    <row r="183" spans="2:15" outlineLevel="1" x14ac:dyDescent="0.2">
      <c r="B183" s="722" t="s">
        <v>282</v>
      </c>
      <c r="C183" s="80"/>
      <c r="D183" s="275"/>
      <c r="E183" s="275"/>
      <c r="F183" s="275"/>
      <c r="G183" s="275"/>
      <c r="H183" s="275"/>
      <c r="I183" s="275"/>
      <c r="J183" s="275"/>
      <c r="K183" s="275"/>
      <c r="L183" s="275"/>
      <c r="M183" s="275"/>
      <c r="N183" s="275"/>
      <c r="O183" s="186"/>
    </row>
    <row r="184" spans="2:15" outlineLevel="1" x14ac:dyDescent="0.2">
      <c r="B184" s="722" t="s">
        <v>249</v>
      </c>
      <c r="C184" s="186">
        <v>1436.4</v>
      </c>
      <c r="D184" s="79">
        <f>+C184*(1+D186)</f>
        <v>1436.4</v>
      </c>
      <c r="E184" s="79">
        <f t="shared" ref="E184:M184" si="95">+D184*(1+E186)</f>
        <v>1436.4</v>
      </c>
      <c r="F184" s="79">
        <f t="shared" si="95"/>
        <v>1436.4</v>
      </c>
      <c r="G184" s="79">
        <f t="shared" si="95"/>
        <v>1436.4</v>
      </c>
      <c r="H184" s="79">
        <f t="shared" si="95"/>
        <v>1436.4</v>
      </c>
      <c r="I184" s="79">
        <f t="shared" si="95"/>
        <v>1436.4</v>
      </c>
      <c r="J184" s="79">
        <f t="shared" si="95"/>
        <v>1436.4</v>
      </c>
      <c r="K184" s="79">
        <f t="shared" si="95"/>
        <v>1436.4</v>
      </c>
      <c r="L184" s="79">
        <f t="shared" si="95"/>
        <v>1436.4</v>
      </c>
      <c r="M184" s="79">
        <f t="shared" si="95"/>
        <v>1436.4</v>
      </c>
      <c r="N184" s="79">
        <f>+M184*(1+N186)</f>
        <v>1436.4</v>
      </c>
      <c r="O184" s="79">
        <f>+N184</f>
        <v>1436.4</v>
      </c>
    </row>
    <row r="185" spans="2:15" outlineLevel="1" x14ac:dyDescent="0.2">
      <c r="B185" s="722"/>
      <c r="C185" s="32"/>
      <c r="D185" s="32"/>
      <c r="E185" s="32"/>
      <c r="F185" s="32"/>
      <c r="G185" s="32"/>
      <c r="H185" s="32"/>
      <c r="I185" s="32"/>
      <c r="J185" s="32"/>
      <c r="K185" s="32"/>
      <c r="L185" s="32"/>
      <c r="M185" s="32"/>
      <c r="N185" s="32"/>
      <c r="O185" s="79"/>
    </row>
    <row r="186" spans="2:15" outlineLevel="1" x14ac:dyDescent="0.2">
      <c r="B186" s="722" t="s">
        <v>282</v>
      </c>
      <c r="C186" s="80"/>
      <c r="D186" s="275">
        <v>0</v>
      </c>
      <c r="E186" s="275">
        <v>0</v>
      </c>
      <c r="F186" s="275">
        <v>0</v>
      </c>
      <c r="G186" s="275">
        <v>0</v>
      </c>
      <c r="H186" s="275">
        <v>0</v>
      </c>
      <c r="I186" s="275">
        <v>0</v>
      </c>
      <c r="J186" s="275">
        <v>0</v>
      </c>
      <c r="K186" s="275">
        <v>0</v>
      </c>
      <c r="L186" s="275">
        <v>0</v>
      </c>
      <c r="M186" s="275">
        <v>0</v>
      </c>
      <c r="N186" s="275">
        <v>0</v>
      </c>
      <c r="O186" s="186"/>
    </row>
    <row r="187" spans="2:15" outlineLevel="1" x14ac:dyDescent="0.2">
      <c r="B187" s="722" t="s">
        <v>1</v>
      </c>
      <c r="C187" s="134">
        <f t="shared" ref="C187:N187" si="96">+C184*C181</f>
        <v>223848.57600000003</v>
      </c>
      <c r="D187" s="134">
        <f t="shared" si="96"/>
        <v>223848.57600000003</v>
      </c>
      <c r="E187" s="134">
        <f t="shared" si="96"/>
        <v>223848.57600000003</v>
      </c>
      <c r="F187" s="134">
        <f t="shared" si="96"/>
        <v>223848.57600000003</v>
      </c>
      <c r="G187" s="134">
        <f t="shared" si="96"/>
        <v>223848.57600000003</v>
      </c>
      <c r="H187" s="134">
        <f t="shared" si="96"/>
        <v>223848.57600000003</v>
      </c>
      <c r="I187" s="134">
        <f t="shared" si="96"/>
        <v>223848.57600000003</v>
      </c>
      <c r="J187" s="134">
        <f t="shared" si="96"/>
        <v>223848.57600000003</v>
      </c>
      <c r="K187" s="134">
        <f t="shared" si="96"/>
        <v>223848.57600000003</v>
      </c>
      <c r="L187" s="134">
        <f t="shared" si="96"/>
        <v>223848.57600000003</v>
      </c>
      <c r="M187" s="134">
        <f t="shared" si="96"/>
        <v>223848.57600000003</v>
      </c>
      <c r="N187" s="134">
        <f t="shared" si="96"/>
        <v>223848.57600000003</v>
      </c>
      <c r="O187" s="134">
        <f>SUM(C187:N187)</f>
        <v>2686182.9120000005</v>
      </c>
    </row>
    <row r="188" spans="2:15" ht="15" x14ac:dyDescent="0.25">
      <c r="B188" s="274" t="s">
        <v>493</v>
      </c>
      <c r="C188" s="81"/>
      <c r="D188" s="81"/>
      <c r="E188" s="81"/>
      <c r="F188" s="81"/>
      <c r="G188" s="81"/>
      <c r="H188" s="81"/>
      <c r="I188" s="81"/>
      <c r="J188" s="81"/>
      <c r="K188" s="81"/>
      <c r="L188" s="81"/>
      <c r="M188" s="81"/>
      <c r="N188" s="81"/>
      <c r="O188" s="81"/>
    </row>
    <row r="189" spans="2:15" outlineLevel="1" x14ac:dyDescent="0.2">
      <c r="B189" s="722" t="s">
        <v>283</v>
      </c>
      <c r="C189" s="186">
        <v>3051.41</v>
      </c>
      <c r="D189" s="79">
        <f>+C189*(1+D191)</f>
        <v>3051.41</v>
      </c>
      <c r="E189" s="79">
        <f t="shared" ref="E189:M189" si="97">+D189*(1+E191)</f>
        <v>3051.41</v>
      </c>
      <c r="F189" s="79">
        <f t="shared" si="97"/>
        <v>3051.41</v>
      </c>
      <c r="G189" s="79">
        <f t="shared" si="97"/>
        <v>3051.41</v>
      </c>
      <c r="H189" s="79">
        <f t="shared" si="97"/>
        <v>3051.41</v>
      </c>
      <c r="I189" s="79">
        <f t="shared" si="97"/>
        <v>3051.41</v>
      </c>
      <c r="J189" s="79">
        <f t="shared" si="97"/>
        <v>3051.41</v>
      </c>
      <c r="K189" s="79">
        <f t="shared" si="97"/>
        <v>3051.41</v>
      </c>
      <c r="L189" s="79">
        <f t="shared" si="97"/>
        <v>3051.41</v>
      </c>
      <c r="M189" s="79">
        <f t="shared" si="97"/>
        <v>3051.41</v>
      </c>
      <c r="N189" s="79">
        <f>+M189*(1+N191)</f>
        <v>3051.41</v>
      </c>
      <c r="O189" s="79">
        <f>SUM(C189:N189)</f>
        <v>36616.92</v>
      </c>
    </row>
    <row r="190" spans="2:15" outlineLevel="1" x14ac:dyDescent="0.2">
      <c r="B190" s="722"/>
      <c r="C190" s="32"/>
      <c r="D190" s="32"/>
      <c r="E190" s="32"/>
      <c r="F190" s="32"/>
      <c r="G190" s="32"/>
      <c r="H190" s="32"/>
      <c r="I190" s="32"/>
      <c r="J190" s="32"/>
      <c r="K190" s="32"/>
      <c r="L190" s="32"/>
      <c r="M190" s="32"/>
      <c r="N190" s="32"/>
      <c r="O190" s="79"/>
    </row>
    <row r="191" spans="2:15" outlineLevel="1" x14ac:dyDescent="0.2">
      <c r="B191" s="722" t="s">
        <v>282</v>
      </c>
      <c r="C191" s="80"/>
      <c r="D191" s="275"/>
      <c r="E191" s="275"/>
      <c r="F191" s="275"/>
      <c r="G191" s="275"/>
      <c r="H191" s="275"/>
      <c r="I191" s="275"/>
      <c r="J191" s="275"/>
      <c r="K191" s="275"/>
      <c r="L191" s="275"/>
      <c r="M191" s="275"/>
      <c r="N191" s="275"/>
      <c r="O191" s="186"/>
    </row>
    <row r="192" spans="2:15" outlineLevel="1" x14ac:dyDescent="0.2">
      <c r="B192" s="722" t="s">
        <v>249</v>
      </c>
      <c r="C192" s="186">
        <v>2565</v>
      </c>
      <c r="D192" s="79">
        <f>+C192*(1+D194)</f>
        <v>2565</v>
      </c>
      <c r="E192" s="79">
        <f t="shared" ref="E192:M192" si="98">+D192*(1+E194)</f>
        <v>2565</v>
      </c>
      <c r="F192" s="79">
        <f t="shared" si="98"/>
        <v>2565</v>
      </c>
      <c r="G192" s="79">
        <f t="shared" si="98"/>
        <v>2565</v>
      </c>
      <c r="H192" s="79">
        <f t="shared" si="98"/>
        <v>2565</v>
      </c>
      <c r="I192" s="79">
        <f t="shared" si="98"/>
        <v>2565</v>
      </c>
      <c r="J192" s="79">
        <f t="shared" si="98"/>
        <v>2565</v>
      </c>
      <c r="K192" s="79">
        <f t="shared" si="98"/>
        <v>2565</v>
      </c>
      <c r="L192" s="79">
        <f t="shared" si="98"/>
        <v>2565</v>
      </c>
      <c r="M192" s="79">
        <f t="shared" si="98"/>
        <v>2565</v>
      </c>
      <c r="N192" s="79">
        <f>+M192*(1+N194)</f>
        <v>2565</v>
      </c>
      <c r="O192" s="79">
        <f>+N192</f>
        <v>2565</v>
      </c>
    </row>
    <row r="193" spans="2:15" outlineLevel="1" x14ac:dyDescent="0.2">
      <c r="B193" s="722"/>
      <c r="C193" s="32"/>
      <c r="D193" s="32"/>
      <c r="E193" s="32"/>
      <c r="F193" s="32"/>
      <c r="G193" s="32"/>
      <c r="H193" s="32"/>
      <c r="I193" s="32"/>
      <c r="J193" s="32"/>
      <c r="K193" s="32"/>
      <c r="L193" s="32"/>
      <c r="M193" s="32"/>
      <c r="N193" s="32"/>
      <c r="O193" s="79"/>
    </row>
    <row r="194" spans="2:15" outlineLevel="1" x14ac:dyDescent="0.2">
      <c r="B194" s="722" t="s">
        <v>282</v>
      </c>
      <c r="C194" s="80"/>
      <c r="D194" s="275">
        <v>0</v>
      </c>
      <c r="E194" s="275">
        <v>0</v>
      </c>
      <c r="F194" s="275">
        <v>0</v>
      </c>
      <c r="G194" s="275">
        <v>0</v>
      </c>
      <c r="H194" s="275">
        <v>0</v>
      </c>
      <c r="I194" s="275">
        <v>0</v>
      </c>
      <c r="J194" s="275">
        <v>0</v>
      </c>
      <c r="K194" s="275">
        <v>0</v>
      </c>
      <c r="L194" s="275">
        <v>0</v>
      </c>
      <c r="M194" s="275">
        <v>0</v>
      </c>
      <c r="N194" s="275">
        <v>0</v>
      </c>
      <c r="O194" s="186"/>
    </row>
    <row r="195" spans="2:15" outlineLevel="1" x14ac:dyDescent="0.2">
      <c r="B195" s="722" t="s">
        <v>1</v>
      </c>
      <c r="C195" s="134">
        <f t="shared" ref="C195:N195" si="99">+C192*C189</f>
        <v>7826866.6499999994</v>
      </c>
      <c r="D195" s="134">
        <f t="shared" si="99"/>
        <v>7826866.6499999994</v>
      </c>
      <c r="E195" s="134">
        <f t="shared" si="99"/>
        <v>7826866.6499999994</v>
      </c>
      <c r="F195" s="134">
        <f t="shared" si="99"/>
        <v>7826866.6499999994</v>
      </c>
      <c r="G195" s="134">
        <f t="shared" si="99"/>
        <v>7826866.6499999994</v>
      </c>
      <c r="H195" s="134">
        <f t="shared" si="99"/>
        <v>7826866.6499999994</v>
      </c>
      <c r="I195" s="134">
        <f t="shared" si="99"/>
        <v>7826866.6499999994</v>
      </c>
      <c r="J195" s="134">
        <f t="shared" si="99"/>
        <v>7826866.6499999994</v>
      </c>
      <c r="K195" s="134">
        <f t="shared" si="99"/>
        <v>7826866.6499999994</v>
      </c>
      <c r="L195" s="134">
        <f t="shared" si="99"/>
        <v>7826866.6499999994</v>
      </c>
      <c r="M195" s="134">
        <f t="shared" si="99"/>
        <v>7826866.6499999994</v>
      </c>
      <c r="N195" s="134">
        <f t="shared" si="99"/>
        <v>7826866.6499999994</v>
      </c>
      <c r="O195" s="134">
        <f>SUM(C195:N195)</f>
        <v>93922399.800000012</v>
      </c>
    </row>
    <row r="196" spans="2:15" ht="15" x14ac:dyDescent="0.25">
      <c r="B196" s="274" t="s">
        <v>494</v>
      </c>
      <c r="C196" s="81"/>
      <c r="D196" s="81"/>
      <c r="E196" s="81"/>
      <c r="F196" s="81"/>
      <c r="G196" s="81"/>
      <c r="H196" s="81"/>
      <c r="I196" s="81"/>
      <c r="J196" s="81"/>
      <c r="K196" s="81"/>
      <c r="L196" s="81"/>
      <c r="M196" s="81"/>
      <c r="N196" s="81"/>
      <c r="O196" s="81"/>
    </row>
    <row r="197" spans="2:15" outlineLevel="1" x14ac:dyDescent="0.2">
      <c r="B197" s="722" t="s">
        <v>283</v>
      </c>
      <c r="C197" s="186">
        <v>503.32</v>
      </c>
      <c r="D197" s="79">
        <f>+C197*(1+D199)</f>
        <v>503.32</v>
      </c>
      <c r="E197" s="79">
        <f t="shared" ref="E197:M197" si="100">+D197*(1+E199)</f>
        <v>503.32</v>
      </c>
      <c r="F197" s="79">
        <f t="shared" si="100"/>
        <v>503.32</v>
      </c>
      <c r="G197" s="79">
        <f t="shared" si="100"/>
        <v>503.32</v>
      </c>
      <c r="H197" s="79">
        <f t="shared" si="100"/>
        <v>503.32</v>
      </c>
      <c r="I197" s="79">
        <f t="shared" si="100"/>
        <v>503.32</v>
      </c>
      <c r="J197" s="79">
        <f t="shared" si="100"/>
        <v>503.32</v>
      </c>
      <c r="K197" s="79">
        <f t="shared" si="100"/>
        <v>503.32</v>
      </c>
      <c r="L197" s="79">
        <f t="shared" si="100"/>
        <v>503.32</v>
      </c>
      <c r="M197" s="79">
        <f t="shared" si="100"/>
        <v>503.32</v>
      </c>
      <c r="N197" s="79">
        <f>+M197*(1+N199)</f>
        <v>503.32</v>
      </c>
      <c r="O197" s="79">
        <f>SUM(C197:N197)</f>
        <v>6039.8399999999992</v>
      </c>
    </row>
    <row r="198" spans="2:15" outlineLevel="1" x14ac:dyDescent="0.2">
      <c r="B198" s="722"/>
      <c r="C198" s="32"/>
      <c r="D198" s="32"/>
      <c r="E198" s="32"/>
      <c r="F198" s="32"/>
      <c r="G198" s="32"/>
      <c r="H198" s="32"/>
      <c r="I198" s="32"/>
      <c r="J198" s="32"/>
      <c r="K198" s="32"/>
      <c r="L198" s="32"/>
      <c r="M198" s="32"/>
      <c r="N198" s="32"/>
      <c r="O198" s="79"/>
    </row>
    <row r="199" spans="2:15" outlineLevel="1" x14ac:dyDescent="0.2">
      <c r="B199" s="722" t="s">
        <v>282</v>
      </c>
      <c r="C199" s="80"/>
      <c r="D199" s="275"/>
      <c r="E199" s="275"/>
      <c r="F199" s="275"/>
      <c r="G199" s="275"/>
      <c r="H199" s="275"/>
      <c r="I199" s="275"/>
      <c r="J199" s="275"/>
      <c r="K199" s="275"/>
      <c r="L199" s="275"/>
      <c r="M199" s="275"/>
      <c r="N199" s="275"/>
      <c r="O199" s="186"/>
    </row>
    <row r="200" spans="2:15" outlineLevel="1" x14ac:dyDescent="0.2">
      <c r="B200" s="722" t="s">
        <v>249</v>
      </c>
      <c r="C200" s="186">
        <v>3591</v>
      </c>
      <c r="D200" s="79">
        <f>+C200*(1+D202)</f>
        <v>3591</v>
      </c>
      <c r="E200" s="79">
        <f t="shared" ref="E200:M200" si="101">+D200*(1+E202)</f>
        <v>3591</v>
      </c>
      <c r="F200" s="79">
        <f t="shared" si="101"/>
        <v>3591</v>
      </c>
      <c r="G200" s="79">
        <f t="shared" si="101"/>
        <v>3591</v>
      </c>
      <c r="H200" s="79">
        <f t="shared" si="101"/>
        <v>3591</v>
      </c>
      <c r="I200" s="79">
        <f t="shared" si="101"/>
        <v>3591</v>
      </c>
      <c r="J200" s="79">
        <f t="shared" si="101"/>
        <v>3591</v>
      </c>
      <c r="K200" s="79">
        <f t="shared" si="101"/>
        <v>3591</v>
      </c>
      <c r="L200" s="79">
        <f t="shared" si="101"/>
        <v>3591</v>
      </c>
      <c r="M200" s="79">
        <f t="shared" si="101"/>
        <v>3591</v>
      </c>
      <c r="N200" s="79">
        <f>+M200*(1+N202)</f>
        <v>3591</v>
      </c>
      <c r="O200" s="79">
        <f>+N200</f>
        <v>3591</v>
      </c>
    </row>
    <row r="201" spans="2:15" outlineLevel="1" x14ac:dyDescent="0.2">
      <c r="B201" s="722"/>
      <c r="C201" s="32"/>
      <c r="D201" s="32"/>
      <c r="E201" s="32"/>
      <c r="F201" s="32"/>
      <c r="G201" s="32"/>
      <c r="H201" s="32"/>
      <c r="I201" s="32"/>
      <c r="J201" s="32"/>
      <c r="K201" s="32"/>
      <c r="L201" s="32"/>
      <c r="M201" s="32"/>
      <c r="N201" s="32"/>
      <c r="O201" s="79"/>
    </row>
    <row r="202" spans="2:15" outlineLevel="1" x14ac:dyDescent="0.2">
      <c r="B202" s="722" t="s">
        <v>282</v>
      </c>
      <c r="C202" s="80"/>
      <c r="D202" s="275">
        <v>0</v>
      </c>
      <c r="E202" s="275">
        <v>0</v>
      </c>
      <c r="F202" s="275">
        <v>0</v>
      </c>
      <c r="G202" s="275">
        <v>0</v>
      </c>
      <c r="H202" s="275">
        <v>0</v>
      </c>
      <c r="I202" s="275">
        <v>0</v>
      </c>
      <c r="J202" s="275">
        <v>0</v>
      </c>
      <c r="K202" s="275">
        <v>0</v>
      </c>
      <c r="L202" s="275">
        <v>0</v>
      </c>
      <c r="M202" s="275">
        <v>0</v>
      </c>
      <c r="N202" s="275">
        <v>0</v>
      </c>
      <c r="O202" s="186"/>
    </row>
    <row r="203" spans="2:15" outlineLevel="1" x14ac:dyDescent="0.2">
      <c r="B203" s="722" t="s">
        <v>1</v>
      </c>
      <c r="C203" s="134">
        <f t="shared" ref="C203:N203" si="102">+C200*C197</f>
        <v>1807422.1199999999</v>
      </c>
      <c r="D203" s="134">
        <f t="shared" si="102"/>
        <v>1807422.1199999999</v>
      </c>
      <c r="E203" s="134">
        <f t="shared" si="102"/>
        <v>1807422.1199999999</v>
      </c>
      <c r="F203" s="134">
        <f t="shared" si="102"/>
        <v>1807422.1199999999</v>
      </c>
      <c r="G203" s="134">
        <f t="shared" si="102"/>
        <v>1807422.1199999999</v>
      </c>
      <c r="H203" s="134">
        <f t="shared" si="102"/>
        <v>1807422.1199999999</v>
      </c>
      <c r="I203" s="134">
        <f t="shared" si="102"/>
        <v>1807422.1199999999</v>
      </c>
      <c r="J203" s="134">
        <f t="shared" si="102"/>
        <v>1807422.1199999999</v>
      </c>
      <c r="K203" s="134">
        <f t="shared" si="102"/>
        <v>1807422.1199999999</v>
      </c>
      <c r="L203" s="134">
        <f t="shared" si="102"/>
        <v>1807422.1199999999</v>
      </c>
      <c r="M203" s="134">
        <f t="shared" si="102"/>
        <v>1807422.1199999999</v>
      </c>
      <c r="N203" s="134">
        <f t="shared" si="102"/>
        <v>1807422.1199999999</v>
      </c>
      <c r="O203" s="134">
        <f>SUM(C203:N203)</f>
        <v>21689065.439999998</v>
      </c>
    </row>
    <row r="204" spans="2:15" ht="15" x14ac:dyDescent="0.25">
      <c r="B204" s="274" t="s">
        <v>495</v>
      </c>
      <c r="C204" s="81"/>
      <c r="D204" s="81"/>
      <c r="E204" s="81"/>
      <c r="F204" s="81"/>
      <c r="G204" s="81"/>
      <c r="H204" s="81"/>
      <c r="I204" s="81"/>
      <c r="J204" s="81"/>
      <c r="K204" s="81"/>
      <c r="L204" s="81"/>
      <c r="M204" s="81"/>
      <c r="N204" s="81"/>
      <c r="O204" s="81"/>
    </row>
    <row r="205" spans="2:15" outlineLevel="1" x14ac:dyDescent="0.2">
      <c r="B205" s="722" t="s">
        <v>283</v>
      </c>
      <c r="C205" s="186">
        <v>8911.75</v>
      </c>
      <c r="D205" s="79">
        <f>+C205*(1+D207)</f>
        <v>8911.75</v>
      </c>
      <c r="E205" s="79">
        <f t="shared" ref="E205" si="103">+D205*(1+E207)</f>
        <v>8911.75</v>
      </c>
      <c r="F205" s="79">
        <f t="shared" ref="F205" si="104">+E205*(1+F207)</f>
        <v>8911.75</v>
      </c>
      <c r="G205" s="79">
        <f t="shared" ref="G205" si="105">+F205*(1+G207)</f>
        <v>8911.75</v>
      </c>
      <c r="H205" s="79">
        <f t="shared" ref="H205" si="106">+G205*(1+H207)</f>
        <v>8911.75</v>
      </c>
      <c r="I205" s="79">
        <f t="shared" ref="I205" si="107">+H205*(1+I207)</f>
        <v>8911.75</v>
      </c>
      <c r="J205" s="79">
        <f t="shared" ref="J205" si="108">+I205*(1+J207)</f>
        <v>8911.75</v>
      </c>
      <c r="K205" s="79">
        <f t="shared" ref="K205" si="109">+J205*(1+K207)</f>
        <v>8911.75</v>
      </c>
      <c r="L205" s="79">
        <f t="shared" ref="L205" si="110">+K205*(1+L207)</f>
        <v>8911.75</v>
      </c>
      <c r="M205" s="79">
        <f t="shared" ref="M205" si="111">+L205*(1+M207)</f>
        <v>8911.75</v>
      </c>
      <c r="N205" s="79">
        <f>+M205*(1+N207)</f>
        <v>8911.75</v>
      </c>
      <c r="O205" s="79">
        <f>SUM(C205:N205)</f>
        <v>106941</v>
      </c>
    </row>
    <row r="206" spans="2:15" outlineLevel="1" x14ac:dyDescent="0.2">
      <c r="B206" s="722"/>
      <c r="C206" s="32"/>
      <c r="D206" s="32"/>
      <c r="E206" s="32"/>
      <c r="F206" s="32"/>
      <c r="G206" s="32"/>
      <c r="H206" s="32"/>
      <c r="I206" s="32"/>
      <c r="J206" s="32"/>
      <c r="K206" s="32"/>
      <c r="L206" s="32"/>
      <c r="M206" s="32"/>
      <c r="N206" s="32"/>
      <c r="O206" s="79"/>
    </row>
    <row r="207" spans="2:15" outlineLevel="1" x14ac:dyDescent="0.2">
      <c r="B207" s="722" t="s">
        <v>282</v>
      </c>
      <c r="C207" s="80"/>
      <c r="D207" s="275"/>
      <c r="E207" s="275"/>
      <c r="F207" s="275"/>
      <c r="G207" s="275"/>
      <c r="H207" s="275"/>
      <c r="I207" s="275"/>
      <c r="J207" s="275"/>
      <c r="K207" s="275"/>
      <c r="L207" s="275"/>
      <c r="M207" s="275"/>
      <c r="N207" s="275"/>
      <c r="O207" s="186"/>
    </row>
    <row r="208" spans="2:15" outlineLevel="1" x14ac:dyDescent="0.2">
      <c r="B208" s="722" t="s">
        <v>249</v>
      </c>
      <c r="C208" s="186">
        <v>1470.26</v>
      </c>
      <c r="D208" s="79">
        <f>+C208*(1+D210)</f>
        <v>1470.26</v>
      </c>
      <c r="E208" s="79">
        <f t="shared" ref="E208" si="112">+D208*(1+E210)</f>
        <v>1470.26</v>
      </c>
      <c r="F208" s="79">
        <f t="shared" ref="F208" si="113">+E208*(1+F210)</f>
        <v>1470.26</v>
      </c>
      <c r="G208" s="79">
        <f t="shared" ref="G208" si="114">+F208*(1+G210)</f>
        <v>1470.26</v>
      </c>
      <c r="H208" s="79">
        <f t="shared" ref="H208" si="115">+G208*(1+H210)</f>
        <v>1470.26</v>
      </c>
      <c r="I208" s="79">
        <f t="shared" ref="I208" si="116">+H208*(1+I210)</f>
        <v>1470.26</v>
      </c>
      <c r="J208" s="79">
        <f t="shared" ref="J208" si="117">+I208*(1+J210)</f>
        <v>1470.26</v>
      </c>
      <c r="K208" s="79">
        <f t="shared" ref="K208" si="118">+J208*(1+K210)</f>
        <v>1470.26</v>
      </c>
      <c r="L208" s="79">
        <f t="shared" ref="L208" si="119">+K208*(1+L210)</f>
        <v>1470.26</v>
      </c>
      <c r="M208" s="79">
        <f t="shared" ref="M208" si="120">+L208*(1+M210)</f>
        <v>1470.26</v>
      </c>
      <c r="N208" s="79">
        <f>+M208*(1+N210)</f>
        <v>1470.26</v>
      </c>
      <c r="O208" s="79">
        <f>+N208</f>
        <v>1470.26</v>
      </c>
    </row>
    <row r="209" spans="2:15" outlineLevel="1" x14ac:dyDescent="0.2">
      <c r="B209" s="722"/>
      <c r="C209" s="32"/>
      <c r="D209" s="32"/>
      <c r="E209" s="32"/>
      <c r="F209" s="32"/>
      <c r="G209" s="32"/>
      <c r="H209" s="32"/>
      <c r="I209" s="32"/>
      <c r="J209" s="32"/>
      <c r="K209" s="32"/>
      <c r="L209" s="32"/>
      <c r="M209" s="32"/>
      <c r="N209" s="32"/>
      <c r="O209" s="79"/>
    </row>
    <row r="210" spans="2:15" outlineLevel="1" x14ac:dyDescent="0.2">
      <c r="B210" s="722" t="s">
        <v>282</v>
      </c>
      <c r="C210" s="80"/>
      <c r="D210" s="275">
        <v>0</v>
      </c>
      <c r="E210" s="275">
        <v>0</v>
      </c>
      <c r="F210" s="275">
        <v>0</v>
      </c>
      <c r="G210" s="275">
        <v>0</v>
      </c>
      <c r="H210" s="275">
        <v>0</v>
      </c>
      <c r="I210" s="275">
        <v>0</v>
      </c>
      <c r="J210" s="275">
        <v>0</v>
      </c>
      <c r="K210" s="275">
        <v>0</v>
      </c>
      <c r="L210" s="275">
        <v>0</v>
      </c>
      <c r="M210" s="275">
        <v>0</v>
      </c>
      <c r="N210" s="275">
        <v>0</v>
      </c>
      <c r="O210" s="186"/>
    </row>
    <row r="211" spans="2:15" outlineLevel="1" x14ac:dyDescent="0.2">
      <c r="B211" s="722" t="s">
        <v>1</v>
      </c>
      <c r="C211" s="134">
        <f t="shared" ref="C211:N211" si="121">+C208*C205</f>
        <v>13102589.555</v>
      </c>
      <c r="D211" s="134">
        <f t="shared" si="121"/>
        <v>13102589.555</v>
      </c>
      <c r="E211" s="134">
        <f t="shared" si="121"/>
        <v>13102589.555</v>
      </c>
      <c r="F211" s="134">
        <f t="shared" si="121"/>
        <v>13102589.555</v>
      </c>
      <c r="G211" s="134">
        <f t="shared" si="121"/>
        <v>13102589.555</v>
      </c>
      <c r="H211" s="134">
        <f t="shared" si="121"/>
        <v>13102589.555</v>
      </c>
      <c r="I211" s="134">
        <f t="shared" si="121"/>
        <v>13102589.555</v>
      </c>
      <c r="J211" s="134">
        <f t="shared" si="121"/>
        <v>13102589.555</v>
      </c>
      <c r="K211" s="134">
        <f t="shared" si="121"/>
        <v>13102589.555</v>
      </c>
      <c r="L211" s="134">
        <f t="shared" si="121"/>
        <v>13102589.555</v>
      </c>
      <c r="M211" s="134">
        <f t="shared" si="121"/>
        <v>13102589.555</v>
      </c>
      <c r="N211" s="134">
        <f t="shared" si="121"/>
        <v>13102589.555</v>
      </c>
      <c r="O211" s="134">
        <f>SUM(C211:N211)</f>
        <v>157231074.66000003</v>
      </c>
    </row>
    <row r="212" spans="2:15" ht="15" x14ac:dyDescent="0.25">
      <c r="B212" s="274" t="s">
        <v>496</v>
      </c>
      <c r="C212" s="81"/>
      <c r="D212" s="81"/>
      <c r="E212" s="81"/>
      <c r="F212" s="81"/>
      <c r="G212" s="81"/>
      <c r="H212" s="81"/>
      <c r="I212" s="81"/>
      <c r="J212" s="81"/>
      <c r="K212" s="81"/>
      <c r="L212" s="81"/>
      <c r="M212" s="81"/>
      <c r="N212" s="81"/>
      <c r="O212" s="81"/>
    </row>
    <row r="213" spans="2:15" outlineLevel="1" x14ac:dyDescent="0.2">
      <c r="B213" s="722" t="s">
        <v>283</v>
      </c>
      <c r="C213" s="186">
        <v>623.35</v>
      </c>
      <c r="D213" s="79">
        <f>+C213*(1+D215)</f>
        <v>623.35</v>
      </c>
      <c r="E213" s="79">
        <f t="shared" ref="E213" si="122">+D213*(1+E215)</f>
        <v>623.35</v>
      </c>
      <c r="F213" s="79">
        <f t="shared" ref="F213" si="123">+E213*(1+F215)</f>
        <v>623.35</v>
      </c>
      <c r="G213" s="79">
        <f t="shared" ref="G213" si="124">+F213*(1+G215)</f>
        <v>623.35</v>
      </c>
      <c r="H213" s="79">
        <f t="shared" ref="H213" si="125">+G213*(1+H215)</f>
        <v>623.35</v>
      </c>
      <c r="I213" s="79">
        <f t="shared" ref="I213" si="126">+H213*(1+I215)</f>
        <v>623.35</v>
      </c>
      <c r="J213" s="79">
        <f t="shared" ref="J213" si="127">+I213*(1+J215)</f>
        <v>623.35</v>
      </c>
      <c r="K213" s="79">
        <f t="shared" ref="K213" si="128">+J213*(1+K215)</f>
        <v>623.35</v>
      </c>
      <c r="L213" s="79">
        <f t="shared" ref="L213" si="129">+K213*(1+L215)</f>
        <v>623.35</v>
      </c>
      <c r="M213" s="79">
        <f t="shared" ref="M213" si="130">+L213*(1+M215)</f>
        <v>623.35</v>
      </c>
      <c r="N213" s="79">
        <f>+M213*(1+N215)</f>
        <v>623.35</v>
      </c>
      <c r="O213" s="79">
        <f>SUM(C213:N213)</f>
        <v>7480.2000000000016</v>
      </c>
    </row>
    <row r="214" spans="2:15" outlineLevel="1" x14ac:dyDescent="0.2">
      <c r="B214" s="722"/>
      <c r="C214" s="32"/>
      <c r="D214" s="32"/>
      <c r="E214" s="32"/>
      <c r="F214" s="32"/>
      <c r="G214" s="32"/>
      <c r="H214" s="32"/>
      <c r="I214" s="32"/>
      <c r="J214" s="32"/>
      <c r="K214" s="32"/>
      <c r="L214" s="32"/>
      <c r="M214" s="32"/>
      <c r="N214" s="32"/>
      <c r="O214" s="79"/>
    </row>
    <row r="215" spans="2:15" outlineLevel="1" x14ac:dyDescent="0.2">
      <c r="B215" s="722" t="s">
        <v>282</v>
      </c>
      <c r="C215" s="80"/>
      <c r="D215" s="275"/>
      <c r="E215" s="275"/>
      <c r="F215" s="275"/>
      <c r="G215" s="275"/>
      <c r="H215" s="275"/>
      <c r="I215" s="275"/>
      <c r="J215" s="275"/>
      <c r="K215" s="275"/>
      <c r="L215" s="275"/>
      <c r="M215" s="275"/>
      <c r="N215" s="275"/>
      <c r="O215" s="186"/>
    </row>
    <row r="216" spans="2:15" outlineLevel="1" x14ac:dyDescent="0.2">
      <c r="B216" s="722" t="s">
        <v>249</v>
      </c>
      <c r="C216" s="186">
        <v>889.54</v>
      </c>
      <c r="D216" s="79">
        <f>+C216*(1+D218)</f>
        <v>889.54</v>
      </c>
      <c r="E216" s="79">
        <f t="shared" ref="E216" si="131">+D216*(1+E218)</f>
        <v>889.54</v>
      </c>
      <c r="F216" s="79">
        <f t="shared" ref="F216" si="132">+E216*(1+F218)</f>
        <v>889.54</v>
      </c>
      <c r="G216" s="79">
        <f t="shared" ref="G216" si="133">+F216*(1+G218)</f>
        <v>889.54</v>
      </c>
      <c r="H216" s="79">
        <f t="shared" ref="H216" si="134">+G216*(1+H218)</f>
        <v>889.54</v>
      </c>
      <c r="I216" s="79">
        <f t="shared" ref="I216" si="135">+H216*(1+I218)</f>
        <v>889.54</v>
      </c>
      <c r="J216" s="79">
        <f t="shared" ref="J216" si="136">+I216*(1+J218)</f>
        <v>889.54</v>
      </c>
      <c r="K216" s="79">
        <f t="shared" ref="K216" si="137">+J216*(1+K218)</f>
        <v>889.54</v>
      </c>
      <c r="L216" s="79">
        <f t="shared" ref="L216" si="138">+K216*(1+L218)</f>
        <v>889.54</v>
      </c>
      <c r="M216" s="79">
        <f t="shared" ref="M216" si="139">+L216*(1+M218)</f>
        <v>889.54</v>
      </c>
      <c r="N216" s="79">
        <f>+M216*(1+N218)</f>
        <v>889.54</v>
      </c>
      <c r="O216" s="79">
        <f>+N216</f>
        <v>889.54</v>
      </c>
    </row>
    <row r="217" spans="2:15" outlineLevel="1" x14ac:dyDescent="0.2">
      <c r="B217" s="722"/>
      <c r="C217" s="32"/>
      <c r="D217" s="32"/>
      <c r="E217" s="32"/>
      <c r="F217" s="32"/>
      <c r="G217" s="32"/>
      <c r="H217" s="32"/>
      <c r="I217" s="32"/>
      <c r="J217" s="32"/>
      <c r="K217" s="32"/>
      <c r="L217" s="32"/>
      <c r="M217" s="32"/>
      <c r="N217" s="32"/>
      <c r="O217" s="79"/>
    </row>
    <row r="218" spans="2:15" outlineLevel="1" x14ac:dyDescent="0.2">
      <c r="B218" s="722" t="s">
        <v>282</v>
      </c>
      <c r="C218" s="80"/>
      <c r="D218" s="275">
        <v>0</v>
      </c>
      <c r="E218" s="275">
        <v>0</v>
      </c>
      <c r="F218" s="275">
        <v>0</v>
      </c>
      <c r="G218" s="275">
        <v>0</v>
      </c>
      <c r="H218" s="275">
        <v>0</v>
      </c>
      <c r="I218" s="275">
        <v>0</v>
      </c>
      <c r="J218" s="275">
        <v>0</v>
      </c>
      <c r="K218" s="275">
        <v>0</v>
      </c>
      <c r="L218" s="275">
        <v>0</v>
      </c>
      <c r="M218" s="275">
        <v>0</v>
      </c>
      <c r="N218" s="275">
        <v>0</v>
      </c>
      <c r="O218" s="186"/>
    </row>
    <row r="219" spans="2:15" outlineLevel="1" x14ac:dyDescent="0.2">
      <c r="B219" s="722" t="s">
        <v>1</v>
      </c>
      <c r="C219" s="134">
        <f t="shared" ref="C219:N219" si="140">+C216*C213</f>
        <v>554494.75899999996</v>
      </c>
      <c r="D219" s="134">
        <f t="shared" si="140"/>
        <v>554494.75899999996</v>
      </c>
      <c r="E219" s="134">
        <f t="shared" si="140"/>
        <v>554494.75899999996</v>
      </c>
      <c r="F219" s="134">
        <f t="shared" si="140"/>
        <v>554494.75899999996</v>
      </c>
      <c r="G219" s="134">
        <f t="shared" si="140"/>
        <v>554494.75899999996</v>
      </c>
      <c r="H219" s="134">
        <f t="shared" si="140"/>
        <v>554494.75899999996</v>
      </c>
      <c r="I219" s="134">
        <f t="shared" si="140"/>
        <v>554494.75899999996</v>
      </c>
      <c r="J219" s="134">
        <f t="shared" si="140"/>
        <v>554494.75899999996</v>
      </c>
      <c r="K219" s="134">
        <f t="shared" si="140"/>
        <v>554494.75899999996</v>
      </c>
      <c r="L219" s="134">
        <f t="shared" si="140"/>
        <v>554494.75899999996</v>
      </c>
      <c r="M219" s="134">
        <f t="shared" si="140"/>
        <v>554494.75899999996</v>
      </c>
      <c r="N219" s="134">
        <f t="shared" si="140"/>
        <v>554494.75899999996</v>
      </c>
      <c r="O219" s="134">
        <f>SUM(C219:N219)</f>
        <v>6653937.1079999981</v>
      </c>
    </row>
    <row r="220" spans="2:15" ht="15" x14ac:dyDescent="0.25">
      <c r="B220" s="274" t="s">
        <v>497</v>
      </c>
      <c r="C220" s="81"/>
      <c r="D220" s="81"/>
      <c r="E220" s="81"/>
      <c r="F220" s="81"/>
      <c r="G220" s="81"/>
      <c r="H220" s="81"/>
      <c r="I220" s="81"/>
      <c r="J220" s="81"/>
      <c r="K220" s="81"/>
      <c r="L220" s="81"/>
      <c r="M220" s="81"/>
      <c r="N220" s="81"/>
      <c r="O220" s="81"/>
    </row>
    <row r="221" spans="2:15" outlineLevel="1" x14ac:dyDescent="0.2">
      <c r="B221" s="722" t="s">
        <v>283</v>
      </c>
      <c r="C221" s="186">
        <v>1959.1</v>
      </c>
      <c r="D221" s="79">
        <f>+C221*(1+D223)</f>
        <v>1959.1</v>
      </c>
      <c r="E221" s="79">
        <f t="shared" ref="E221" si="141">+D221*(1+E223)</f>
        <v>1959.1</v>
      </c>
      <c r="F221" s="79">
        <f t="shared" ref="F221" si="142">+E221*(1+F223)</f>
        <v>1959.1</v>
      </c>
      <c r="G221" s="79">
        <f t="shared" ref="G221" si="143">+F221*(1+G223)</f>
        <v>1959.1</v>
      </c>
      <c r="H221" s="79">
        <f t="shared" ref="H221" si="144">+G221*(1+H223)</f>
        <v>1959.1</v>
      </c>
      <c r="I221" s="79">
        <f t="shared" ref="I221" si="145">+H221*(1+I223)</f>
        <v>1959.1</v>
      </c>
      <c r="J221" s="79">
        <f t="shared" ref="J221" si="146">+I221*(1+J223)</f>
        <v>1959.1</v>
      </c>
      <c r="K221" s="79">
        <f t="shared" ref="K221" si="147">+J221*(1+K223)</f>
        <v>1959.1</v>
      </c>
      <c r="L221" s="79">
        <f t="shared" ref="L221" si="148">+K221*(1+L223)</f>
        <v>1959.1</v>
      </c>
      <c r="M221" s="79">
        <f t="shared" ref="M221" si="149">+L221*(1+M223)</f>
        <v>1959.1</v>
      </c>
      <c r="N221" s="79">
        <f>+M221*(1+N223)</f>
        <v>1959.1</v>
      </c>
      <c r="O221" s="79">
        <f>SUM(C221:N221)</f>
        <v>23509.199999999997</v>
      </c>
    </row>
    <row r="222" spans="2:15" outlineLevel="1" x14ac:dyDescent="0.2">
      <c r="B222" s="722"/>
      <c r="C222" s="32"/>
      <c r="D222" s="32"/>
      <c r="E222" s="32"/>
      <c r="F222" s="32"/>
      <c r="G222" s="32"/>
      <c r="H222" s="32"/>
      <c r="I222" s="32"/>
      <c r="J222" s="32"/>
      <c r="K222" s="32"/>
      <c r="L222" s="32"/>
      <c r="M222" s="32"/>
      <c r="N222" s="32"/>
      <c r="O222" s="79"/>
    </row>
    <row r="223" spans="2:15" outlineLevel="1" x14ac:dyDescent="0.2">
      <c r="B223" s="722" t="s">
        <v>282</v>
      </c>
      <c r="C223" s="80"/>
      <c r="D223" s="275"/>
      <c r="E223" s="275"/>
      <c r="F223" s="275"/>
      <c r="G223" s="275"/>
      <c r="H223" s="275"/>
      <c r="I223" s="275"/>
      <c r="J223" s="275"/>
      <c r="K223" s="275"/>
      <c r="L223" s="275"/>
      <c r="M223" s="275"/>
      <c r="N223" s="275"/>
      <c r="O223" s="186"/>
    </row>
    <row r="224" spans="2:15" outlineLevel="1" x14ac:dyDescent="0.2">
      <c r="B224" s="722" t="s">
        <v>249</v>
      </c>
      <c r="C224" s="186">
        <v>4993.54</v>
      </c>
      <c r="D224" s="79">
        <f>+C224*(1+D226)</f>
        <v>4993.54</v>
      </c>
      <c r="E224" s="79">
        <f t="shared" ref="E224" si="150">+D224*(1+E226)</f>
        <v>4993.54</v>
      </c>
      <c r="F224" s="79">
        <f t="shared" ref="F224" si="151">+E224*(1+F226)</f>
        <v>4993.54</v>
      </c>
      <c r="G224" s="79">
        <f t="shared" ref="G224" si="152">+F224*(1+G226)</f>
        <v>4993.54</v>
      </c>
      <c r="H224" s="79">
        <f t="shared" ref="H224" si="153">+G224*(1+H226)</f>
        <v>4993.54</v>
      </c>
      <c r="I224" s="79">
        <f t="shared" ref="I224" si="154">+H224*(1+I226)</f>
        <v>4993.54</v>
      </c>
      <c r="J224" s="79">
        <f t="shared" ref="J224" si="155">+I224*(1+J226)</f>
        <v>4993.54</v>
      </c>
      <c r="K224" s="79">
        <f t="shared" ref="K224" si="156">+J224*(1+K226)</f>
        <v>4993.54</v>
      </c>
      <c r="L224" s="79">
        <f t="shared" ref="L224" si="157">+K224*(1+L226)</f>
        <v>4993.54</v>
      </c>
      <c r="M224" s="79">
        <f t="shared" ref="M224" si="158">+L224*(1+M226)</f>
        <v>4993.54</v>
      </c>
      <c r="N224" s="79">
        <f>+M224*(1+N226)</f>
        <v>4993.54</v>
      </c>
      <c r="O224" s="79">
        <f>+N224</f>
        <v>4993.54</v>
      </c>
    </row>
    <row r="225" spans="2:15" outlineLevel="1" x14ac:dyDescent="0.2">
      <c r="B225" s="722"/>
      <c r="C225" s="32"/>
      <c r="D225" s="32"/>
      <c r="E225" s="32"/>
      <c r="F225" s="32"/>
      <c r="G225" s="32"/>
      <c r="H225" s="32"/>
      <c r="I225" s="32"/>
      <c r="J225" s="32"/>
      <c r="K225" s="32"/>
      <c r="L225" s="32"/>
      <c r="M225" s="32"/>
      <c r="N225" s="32"/>
      <c r="O225" s="79"/>
    </row>
    <row r="226" spans="2:15" outlineLevel="1" x14ac:dyDescent="0.2">
      <c r="B226" s="722" t="s">
        <v>282</v>
      </c>
      <c r="C226" s="80"/>
      <c r="D226" s="275">
        <v>0</v>
      </c>
      <c r="E226" s="275">
        <v>0</v>
      </c>
      <c r="F226" s="275">
        <v>0</v>
      </c>
      <c r="G226" s="275">
        <v>0</v>
      </c>
      <c r="H226" s="275">
        <v>0</v>
      </c>
      <c r="I226" s="275">
        <v>0</v>
      </c>
      <c r="J226" s="275">
        <v>0</v>
      </c>
      <c r="K226" s="275">
        <v>0</v>
      </c>
      <c r="L226" s="275">
        <v>0</v>
      </c>
      <c r="M226" s="275">
        <v>0</v>
      </c>
      <c r="N226" s="275">
        <v>0</v>
      </c>
      <c r="O226" s="186"/>
    </row>
    <row r="227" spans="2:15" outlineLevel="1" x14ac:dyDescent="0.2">
      <c r="B227" s="722" t="s">
        <v>1</v>
      </c>
      <c r="C227" s="134">
        <f t="shared" ref="C227:N227" si="159">+C224*C221</f>
        <v>9782844.2139999997</v>
      </c>
      <c r="D227" s="134">
        <f t="shared" si="159"/>
        <v>9782844.2139999997</v>
      </c>
      <c r="E227" s="134">
        <f t="shared" si="159"/>
        <v>9782844.2139999997</v>
      </c>
      <c r="F227" s="134">
        <f t="shared" si="159"/>
        <v>9782844.2139999997</v>
      </c>
      <c r="G227" s="134">
        <f t="shared" si="159"/>
        <v>9782844.2139999997</v>
      </c>
      <c r="H227" s="134">
        <f t="shared" si="159"/>
        <v>9782844.2139999997</v>
      </c>
      <c r="I227" s="134">
        <f t="shared" si="159"/>
        <v>9782844.2139999997</v>
      </c>
      <c r="J227" s="134">
        <f t="shared" si="159"/>
        <v>9782844.2139999997</v>
      </c>
      <c r="K227" s="134">
        <f t="shared" si="159"/>
        <v>9782844.2139999997</v>
      </c>
      <c r="L227" s="134">
        <f t="shared" si="159"/>
        <v>9782844.2139999997</v>
      </c>
      <c r="M227" s="134">
        <f t="shared" si="159"/>
        <v>9782844.2139999997</v>
      </c>
      <c r="N227" s="134">
        <f t="shared" si="159"/>
        <v>9782844.2139999997</v>
      </c>
      <c r="O227" s="134">
        <f>SUM(C227:N227)</f>
        <v>117394130.568</v>
      </c>
    </row>
    <row r="228" spans="2:15" ht="15" x14ac:dyDescent="0.25">
      <c r="B228" s="274" t="s">
        <v>498</v>
      </c>
      <c r="C228" s="81"/>
      <c r="D228" s="81"/>
      <c r="E228" s="81"/>
      <c r="F228" s="81"/>
      <c r="G228" s="81"/>
      <c r="H228" s="81"/>
      <c r="I228" s="81"/>
      <c r="J228" s="81"/>
      <c r="K228" s="81"/>
      <c r="L228" s="81"/>
      <c r="M228" s="81"/>
      <c r="N228" s="81"/>
      <c r="O228" s="81"/>
    </row>
    <row r="229" spans="2:15" outlineLevel="1" x14ac:dyDescent="0.2">
      <c r="B229" s="722" t="s">
        <v>283</v>
      </c>
      <c r="C229" s="186">
        <v>181.49</v>
      </c>
      <c r="D229" s="79">
        <f>+C229*(1+D231)</f>
        <v>181.49</v>
      </c>
      <c r="E229" s="79">
        <f t="shared" ref="E229" si="160">+D229*(1+E231)</f>
        <v>181.49</v>
      </c>
      <c r="F229" s="79">
        <f t="shared" ref="F229" si="161">+E229*(1+F231)</f>
        <v>181.49</v>
      </c>
      <c r="G229" s="79">
        <f t="shared" ref="G229" si="162">+F229*(1+G231)</f>
        <v>181.49</v>
      </c>
      <c r="H229" s="79">
        <f t="shared" ref="H229" si="163">+G229*(1+H231)</f>
        <v>181.49</v>
      </c>
      <c r="I229" s="79">
        <f t="shared" ref="I229" si="164">+H229*(1+I231)</f>
        <v>181.49</v>
      </c>
      <c r="J229" s="79">
        <f t="shared" ref="J229" si="165">+I229*(1+J231)</f>
        <v>181.49</v>
      </c>
      <c r="K229" s="79">
        <f t="shared" ref="K229" si="166">+J229*(1+K231)</f>
        <v>181.49</v>
      </c>
      <c r="L229" s="79">
        <f t="shared" ref="L229" si="167">+K229*(1+L231)</f>
        <v>181.49</v>
      </c>
      <c r="M229" s="79">
        <f t="shared" ref="M229" si="168">+L229*(1+M231)</f>
        <v>181.49</v>
      </c>
      <c r="N229" s="79">
        <f>+M229*(1+N231)</f>
        <v>181.49</v>
      </c>
      <c r="O229" s="79">
        <f>SUM(C229:N229)</f>
        <v>2177.88</v>
      </c>
    </row>
    <row r="230" spans="2:15" outlineLevel="1" x14ac:dyDescent="0.2">
      <c r="B230" s="722"/>
      <c r="C230" s="32"/>
      <c r="D230" s="32"/>
      <c r="E230" s="32"/>
      <c r="F230" s="32"/>
      <c r="G230" s="32"/>
      <c r="H230" s="32"/>
      <c r="I230" s="32"/>
      <c r="J230" s="32"/>
      <c r="K230" s="32"/>
      <c r="L230" s="32"/>
      <c r="M230" s="32"/>
      <c r="N230" s="32"/>
      <c r="O230" s="79"/>
    </row>
    <row r="231" spans="2:15" outlineLevel="1" x14ac:dyDescent="0.2">
      <c r="B231" s="722" t="s">
        <v>282</v>
      </c>
      <c r="C231" s="80"/>
      <c r="D231" s="275"/>
      <c r="E231" s="275"/>
      <c r="F231" s="275"/>
      <c r="G231" s="275"/>
      <c r="H231" s="275"/>
      <c r="I231" s="275"/>
      <c r="J231" s="275"/>
      <c r="K231" s="275"/>
      <c r="L231" s="275"/>
      <c r="M231" s="275"/>
      <c r="N231" s="275"/>
      <c r="O231" s="186"/>
    </row>
    <row r="232" spans="2:15" outlineLevel="1" x14ac:dyDescent="0.2">
      <c r="B232" s="722" t="s">
        <v>249</v>
      </c>
      <c r="C232" s="186">
        <v>1470.26</v>
      </c>
      <c r="D232" s="79">
        <f>+C232*(1+D234)</f>
        <v>1470.26</v>
      </c>
      <c r="E232" s="79">
        <f t="shared" ref="E232" si="169">+D232*(1+E234)</f>
        <v>1470.26</v>
      </c>
      <c r="F232" s="79">
        <f t="shared" ref="F232" si="170">+E232*(1+F234)</f>
        <v>1470.26</v>
      </c>
      <c r="G232" s="79">
        <f t="shared" ref="G232" si="171">+F232*(1+G234)</f>
        <v>1470.26</v>
      </c>
      <c r="H232" s="79">
        <f t="shared" ref="H232" si="172">+G232*(1+H234)</f>
        <v>1470.26</v>
      </c>
      <c r="I232" s="79">
        <f t="shared" ref="I232" si="173">+H232*(1+I234)</f>
        <v>1470.26</v>
      </c>
      <c r="J232" s="79">
        <f t="shared" ref="J232" si="174">+I232*(1+J234)</f>
        <v>1470.26</v>
      </c>
      <c r="K232" s="79">
        <f t="shared" ref="K232" si="175">+J232*(1+K234)</f>
        <v>1470.26</v>
      </c>
      <c r="L232" s="79">
        <f t="shared" ref="L232" si="176">+K232*(1+L234)</f>
        <v>1470.26</v>
      </c>
      <c r="M232" s="79">
        <f t="shared" ref="M232" si="177">+L232*(1+M234)</f>
        <v>1470.26</v>
      </c>
      <c r="N232" s="79">
        <f>+M232*(1+N234)</f>
        <v>1470.26</v>
      </c>
      <c r="O232" s="79">
        <f>+N232</f>
        <v>1470.26</v>
      </c>
    </row>
    <row r="233" spans="2:15" outlineLevel="1" x14ac:dyDescent="0.2">
      <c r="B233" s="722"/>
      <c r="C233" s="32"/>
      <c r="D233" s="32"/>
      <c r="E233" s="32"/>
      <c r="F233" s="32"/>
      <c r="G233" s="32"/>
      <c r="H233" s="32"/>
      <c r="I233" s="32"/>
      <c r="J233" s="32"/>
      <c r="K233" s="32"/>
      <c r="L233" s="32"/>
      <c r="M233" s="32"/>
      <c r="N233" s="32"/>
      <c r="O233" s="79"/>
    </row>
    <row r="234" spans="2:15" outlineLevel="1" x14ac:dyDescent="0.2">
      <c r="B234" s="722" t="s">
        <v>282</v>
      </c>
      <c r="C234" s="80"/>
      <c r="D234" s="275">
        <v>0</v>
      </c>
      <c r="E234" s="275">
        <v>0</v>
      </c>
      <c r="F234" s="275">
        <v>0</v>
      </c>
      <c r="G234" s="275">
        <v>0</v>
      </c>
      <c r="H234" s="275">
        <v>0</v>
      </c>
      <c r="I234" s="275">
        <v>0</v>
      </c>
      <c r="J234" s="275">
        <v>0</v>
      </c>
      <c r="K234" s="275">
        <v>0</v>
      </c>
      <c r="L234" s="275">
        <v>0</v>
      </c>
      <c r="M234" s="275">
        <v>0</v>
      </c>
      <c r="N234" s="275">
        <v>0</v>
      </c>
      <c r="O234" s="186"/>
    </row>
    <row r="235" spans="2:15" outlineLevel="1" x14ac:dyDescent="0.2">
      <c r="B235" s="722" t="s">
        <v>1</v>
      </c>
      <c r="C235" s="134">
        <f t="shared" ref="C235:N235" si="178">+C232*C229</f>
        <v>266837.48739999998</v>
      </c>
      <c r="D235" s="134">
        <f t="shared" si="178"/>
        <v>266837.48739999998</v>
      </c>
      <c r="E235" s="134">
        <f t="shared" si="178"/>
        <v>266837.48739999998</v>
      </c>
      <c r="F235" s="134">
        <f t="shared" si="178"/>
        <v>266837.48739999998</v>
      </c>
      <c r="G235" s="134">
        <f t="shared" si="178"/>
        <v>266837.48739999998</v>
      </c>
      <c r="H235" s="134">
        <f t="shared" si="178"/>
        <v>266837.48739999998</v>
      </c>
      <c r="I235" s="134">
        <f t="shared" si="178"/>
        <v>266837.48739999998</v>
      </c>
      <c r="J235" s="134">
        <f t="shared" si="178"/>
        <v>266837.48739999998</v>
      </c>
      <c r="K235" s="134">
        <f t="shared" si="178"/>
        <v>266837.48739999998</v>
      </c>
      <c r="L235" s="134">
        <f t="shared" si="178"/>
        <v>266837.48739999998</v>
      </c>
      <c r="M235" s="134">
        <f t="shared" si="178"/>
        <v>266837.48739999998</v>
      </c>
      <c r="N235" s="134">
        <f t="shared" si="178"/>
        <v>266837.48739999998</v>
      </c>
      <c r="O235" s="134">
        <f>SUM(C235:N235)</f>
        <v>3202049.8487999998</v>
      </c>
    </row>
    <row r="236" spans="2:15" ht="15" x14ac:dyDescent="0.25">
      <c r="B236" s="274" t="s">
        <v>499</v>
      </c>
      <c r="C236" s="81"/>
      <c r="D236" s="81"/>
      <c r="E236" s="81"/>
      <c r="F236" s="81"/>
      <c r="G236" s="81"/>
      <c r="H236" s="81"/>
      <c r="I236" s="81"/>
      <c r="J236" s="81"/>
      <c r="K236" s="81"/>
      <c r="L236" s="81"/>
      <c r="M236" s="81"/>
      <c r="N236" s="81"/>
      <c r="O236" s="81"/>
    </row>
    <row r="237" spans="2:15" outlineLevel="1" x14ac:dyDescent="0.2">
      <c r="B237" s="722" t="s">
        <v>283</v>
      </c>
      <c r="C237" s="186">
        <v>47.91</v>
      </c>
      <c r="D237" s="79">
        <f>+C237*(1+D239)</f>
        <v>47.91</v>
      </c>
      <c r="E237" s="79">
        <f t="shared" ref="E237" si="179">+D237*(1+E239)</f>
        <v>47.91</v>
      </c>
      <c r="F237" s="79">
        <f t="shared" ref="F237" si="180">+E237*(1+F239)</f>
        <v>47.91</v>
      </c>
      <c r="G237" s="79">
        <f t="shared" ref="G237" si="181">+F237*(1+G239)</f>
        <v>47.91</v>
      </c>
      <c r="H237" s="79">
        <f t="shared" ref="H237" si="182">+G237*(1+H239)</f>
        <v>47.91</v>
      </c>
      <c r="I237" s="79">
        <f t="shared" ref="I237" si="183">+H237*(1+I239)</f>
        <v>47.91</v>
      </c>
      <c r="J237" s="79">
        <f t="shared" ref="J237" si="184">+I237*(1+J239)</f>
        <v>47.91</v>
      </c>
      <c r="K237" s="79">
        <f t="shared" ref="K237" si="185">+J237*(1+K239)</f>
        <v>47.91</v>
      </c>
      <c r="L237" s="79">
        <f t="shared" ref="L237" si="186">+K237*(1+L239)</f>
        <v>47.91</v>
      </c>
      <c r="M237" s="79">
        <f t="shared" ref="M237" si="187">+L237*(1+M239)</f>
        <v>47.91</v>
      </c>
      <c r="N237" s="79">
        <f>+M237*(1+N239)</f>
        <v>47.91</v>
      </c>
      <c r="O237" s="79">
        <f>SUM(C237:N237)</f>
        <v>574.91999999999985</v>
      </c>
    </row>
    <row r="238" spans="2:15" outlineLevel="1" x14ac:dyDescent="0.2">
      <c r="B238" s="722"/>
      <c r="C238" s="32"/>
      <c r="D238" s="32"/>
      <c r="E238" s="32"/>
      <c r="F238" s="32"/>
      <c r="G238" s="32"/>
      <c r="H238" s="32"/>
      <c r="I238" s="32"/>
      <c r="J238" s="32"/>
      <c r="K238" s="32"/>
      <c r="L238" s="32"/>
      <c r="M238" s="32"/>
      <c r="N238" s="32"/>
      <c r="O238" s="79"/>
    </row>
    <row r="239" spans="2:15" outlineLevel="1" x14ac:dyDescent="0.2">
      <c r="B239" s="722" t="s">
        <v>282</v>
      </c>
      <c r="C239" s="80"/>
      <c r="D239" s="275"/>
      <c r="E239" s="275"/>
      <c r="F239" s="275"/>
      <c r="G239" s="275"/>
      <c r="H239" s="275"/>
      <c r="I239" s="275"/>
      <c r="J239" s="275"/>
      <c r="K239" s="275"/>
      <c r="L239" s="275"/>
      <c r="M239" s="275"/>
      <c r="N239" s="275"/>
      <c r="O239" s="186"/>
    </row>
    <row r="240" spans="2:15" outlineLevel="1" x14ac:dyDescent="0.2">
      <c r="B240" s="722" t="s">
        <v>249</v>
      </c>
      <c r="C240" s="186">
        <v>5198.74</v>
      </c>
      <c r="D240" s="79">
        <f>+C240*(1+D242)</f>
        <v>5198.74</v>
      </c>
      <c r="E240" s="79">
        <f t="shared" ref="E240" si="188">+D240*(1+E242)</f>
        <v>5198.74</v>
      </c>
      <c r="F240" s="79">
        <f t="shared" ref="F240" si="189">+E240*(1+F242)</f>
        <v>5198.74</v>
      </c>
      <c r="G240" s="79">
        <f t="shared" ref="G240" si="190">+F240*(1+G242)</f>
        <v>5198.74</v>
      </c>
      <c r="H240" s="79">
        <f t="shared" ref="H240" si="191">+G240*(1+H242)</f>
        <v>5198.74</v>
      </c>
      <c r="I240" s="79">
        <f t="shared" ref="I240" si="192">+H240*(1+I242)</f>
        <v>5198.74</v>
      </c>
      <c r="J240" s="79">
        <f t="shared" ref="J240" si="193">+I240*(1+J242)</f>
        <v>5198.74</v>
      </c>
      <c r="K240" s="79">
        <f t="shared" ref="K240" si="194">+J240*(1+K242)</f>
        <v>5198.74</v>
      </c>
      <c r="L240" s="79">
        <f t="shared" ref="L240" si="195">+K240*(1+L242)</f>
        <v>5198.74</v>
      </c>
      <c r="M240" s="79">
        <f t="shared" ref="M240" si="196">+L240*(1+M242)</f>
        <v>5198.74</v>
      </c>
      <c r="N240" s="79">
        <f>+M240*(1+N242)</f>
        <v>5198.74</v>
      </c>
      <c r="O240" s="79">
        <f>+N240</f>
        <v>5198.74</v>
      </c>
    </row>
    <row r="241" spans="2:15" outlineLevel="1" x14ac:dyDescent="0.2">
      <c r="B241" s="722"/>
      <c r="C241" s="32"/>
      <c r="D241" s="32"/>
      <c r="E241" s="32"/>
      <c r="F241" s="32"/>
      <c r="G241" s="32"/>
      <c r="H241" s="32"/>
      <c r="I241" s="32"/>
      <c r="J241" s="32"/>
      <c r="K241" s="32"/>
      <c r="L241" s="32"/>
      <c r="M241" s="32"/>
      <c r="N241" s="32"/>
      <c r="O241" s="79"/>
    </row>
    <row r="242" spans="2:15" outlineLevel="1" x14ac:dyDescent="0.2">
      <c r="B242" s="722" t="s">
        <v>282</v>
      </c>
      <c r="C242" s="80"/>
      <c r="D242" s="275">
        <v>0</v>
      </c>
      <c r="E242" s="275">
        <v>0</v>
      </c>
      <c r="F242" s="275">
        <v>0</v>
      </c>
      <c r="G242" s="275">
        <v>0</v>
      </c>
      <c r="H242" s="275">
        <v>0</v>
      </c>
      <c r="I242" s="275">
        <v>0</v>
      </c>
      <c r="J242" s="275">
        <v>0</v>
      </c>
      <c r="K242" s="275">
        <v>0</v>
      </c>
      <c r="L242" s="275">
        <v>0</v>
      </c>
      <c r="M242" s="275">
        <v>0</v>
      </c>
      <c r="N242" s="275">
        <v>0</v>
      </c>
      <c r="O242" s="186"/>
    </row>
    <row r="243" spans="2:15" outlineLevel="1" x14ac:dyDescent="0.2">
      <c r="B243" s="722" t="s">
        <v>1</v>
      </c>
      <c r="C243" s="134">
        <f t="shared" ref="C243:N243" si="197">+C240*C237</f>
        <v>249071.63339999996</v>
      </c>
      <c r="D243" s="134">
        <f t="shared" si="197"/>
        <v>249071.63339999996</v>
      </c>
      <c r="E243" s="134">
        <f t="shared" si="197"/>
        <v>249071.63339999996</v>
      </c>
      <c r="F243" s="134">
        <f t="shared" si="197"/>
        <v>249071.63339999996</v>
      </c>
      <c r="G243" s="134">
        <f t="shared" si="197"/>
        <v>249071.63339999996</v>
      </c>
      <c r="H243" s="134">
        <f t="shared" si="197"/>
        <v>249071.63339999996</v>
      </c>
      <c r="I243" s="134">
        <f t="shared" si="197"/>
        <v>249071.63339999996</v>
      </c>
      <c r="J243" s="134">
        <f t="shared" si="197"/>
        <v>249071.63339999996</v>
      </c>
      <c r="K243" s="134">
        <f t="shared" si="197"/>
        <v>249071.63339999996</v>
      </c>
      <c r="L243" s="134">
        <f t="shared" si="197"/>
        <v>249071.63339999996</v>
      </c>
      <c r="M243" s="134">
        <f t="shared" si="197"/>
        <v>249071.63339999996</v>
      </c>
      <c r="N243" s="134">
        <f t="shared" si="197"/>
        <v>249071.63339999996</v>
      </c>
      <c r="O243" s="134">
        <f>SUM(C243:N243)</f>
        <v>2988859.6008000001</v>
      </c>
    </row>
    <row r="244" spans="2:15" ht="15" x14ac:dyDescent="0.25">
      <c r="B244" s="274" t="s">
        <v>500</v>
      </c>
      <c r="C244" s="81"/>
      <c r="D244" s="81"/>
      <c r="E244" s="81"/>
      <c r="F244" s="81"/>
      <c r="G244" s="81"/>
      <c r="H244" s="81"/>
      <c r="I244" s="81"/>
      <c r="J244" s="81"/>
      <c r="K244" s="81"/>
      <c r="L244" s="81"/>
      <c r="M244" s="81"/>
      <c r="N244" s="81"/>
      <c r="O244" s="81"/>
    </row>
    <row r="245" spans="2:15" outlineLevel="1" x14ac:dyDescent="0.2">
      <c r="B245" s="722" t="s">
        <v>283</v>
      </c>
      <c r="C245" s="186">
        <v>352.33</v>
      </c>
      <c r="D245" s="79">
        <f>+C245*(1+D247)</f>
        <v>352.33</v>
      </c>
      <c r="E245" s="79">
        <f t="shared" ref="E245" si="198">+D245*(1+E247)</f>
        <v>352.33</v>
      </c>
      <c r="F245" s="79">
        <f t="shared" ref="F245" si="199">+E245*(1+F247)</f>
        <v>352.33</v>
      </c>
      <c r="G245" s="79">
        <f t="shared" ref="G245" si="200">+F245*(1+G247)</f>
        <v>352.33</v>
      </c>
      <c r="H245" s="79">
        <f t="shared" ref="H245" si="201">+G245*(1+H247)</f>
        <v>352.33</v>
      </c>
      <c r="I245" s="79">
        <f t="shared" ref="I245" si="202">+H245*(1+I247)</f>
        <v>352.33</v>
      </c>
      <c r="J245" s="79">
        <f t="shared" ref="J245" si="203">+I245*(1+J247)</f>
        <v>352.33</v>
      </c>
      <c r="K245" s="79">
        <f t="shared" ref="K245" si="204">+J245*(1+K247)</f>
        <v>352.33</v>
      </c>
      <c r="L245" s="79">
        <f t="shared" ref="L245" si="205">+K245*(1+L247)</f>
        <v>352.33</v>
      </c>
      <c r="M245" s="79">
        <f t="shared" ref="M245" si="206">+L245*(1+M247)</f>
        <v>352.33</v>
      </c>
      <c r="N245" s="79">
        <f>+M245*(1+N247)</f>
        <v>352.33</v>
      </c>
      <c r="O245" s="79">
        <f>SUM(C245:N245)</f>
        <v>4227.96</v>
      </c>
    </row>
    <row r="246" spans="2:15" outlineLevel="1" x14ac:dyDescent="0.2">
      <c r="B246" s="722"/>
      <c r="C246" s="32"/>
      <c r="D246" s="32"/>
      <c r="E246" s="32"/>
      <c r="F246" s="32"/>
      <c r="G246" s="32"/>
      <c r="H246" s="32"/>
      <c r="I246" s="32"/>
      <c r="J246" s="32"/>
      <c r="K246" s="32"/>
      <c r="L246" s="32"/>
      <c r="M246" s="32"/>
      <c r="N246" s="32"/>
      <c r="O246" s="79"/>
    </row>
    <row r="247" spans="2:15" outlineLevel="1" x14ac:dyDescent="0.2">
      <c r="B247" s="722" t="s">
        <v>282</v>
      </c>
      <c r="C247" s="80"/>
      <c r="D247" s="275"/>
      <c r="E247" s="275"/>
      <c r="F247" s="275"/>
      <c r="G247" s="275"/>
      <c r="H247" s="275"/>
      <c r="I247" s="275"/>
      <c r="J247" s="275"/>
      <c r="K247" s="275"/>
      <c r="L247" s="275"/>
      <c r="M247" s="275"/>
      <c r="N247" s="275"/>
      <c r="O247" s="186"/>
    </row>
    <row r="248" spans="2:15" outlineLevel="1" x14ac:dyDescent="0.2">
      <c r="B248" s="722" t="s">
        <v>249</v>
      </c>
      <c r="C248" s="186">
        <v>7728.86</v>
      </c>
      <c r="D248" s="79">
        <f>+C248*(1+D250)</f>
        <v>7728.86</v>
      </c>
      <c r="E248" s="79">
        <f t="shared" ref="E248" si="207">+D248*(1+E250)</f>
        <v>7728.86</v>
      </c>
      <c r="F248" s="79">
        <f t="shared" ref="F248" si="208">+E248*(1+F250)</f>
        <v>7728.86</v>
      </c>
      <c r="G248" s="79">
        <f t="shared" ref="G248" si="209">+F248*(1+G250)</f>
        <v>7728.86</v>
      </c>
      <c r="H248" s="79">
        <f t="shared" ref="H248" si="210">+G248*(1+H250)</f>
        <v>7728.86</v>
      </c>
      <c r="I248" s="79">
        <f t="shared" ref="I248" si="211">+H248*(1+I250)</f>
        <v>7728.86</v>
      </c>
      <c r="J248" s="79">
        <f t="shared" ref="J248" si="212">+I248*(1+J250)</f>
        <v>7728.86</v>
      </c>
      <c r="K248" s="79">
        <f t="shared" ref="K248" si="213">+J248*(1+K250)</f>
        <v>7728.86</v>
      </c>
      <c r="L248" s="79">
        <f t="shared" ref="L248" si="214">+K248*(1+L250)</f>
        <v>7728.86</v>
      </c>
      <c r="M248" s="79">
        <f t="shared" ref="M248" si="215">+L248*(1+M250)</f>
        <v>7728.86</v>
      </c>
      <c r="N248" s="79">
        <f>+M248*(1+N250)</f>
        <v>7728.86</v>
      </c>
      <c r="O248" s="79">
        <f>+N248</f>
        <v>7728.86</v>
      </c>
    </row>
    <row r="249" spans="2:15" outlineLevel="1" x14ac:dyDescent="0.2">
      <c r="B249" s="722"/>
      <c r="C249" s="32"/>
      <c r="D249" s="32"/>
      <c r="E249" s="32"/>
      <c r="F249" s="32"/>
      <c r="G249" s="32"/>
      <c r="H249" s="32"/>
      <c r="I249" s="32"/>
      <c r="J249" s="32"/>
      <c r="K249" s="32"/>
      <c r="L249" s="32"/>
      <c r="M249" s="32"/>
      <c r="N249" s="32"/>
      <c r="O249" s="79"/>
    </row>
    <row r="250" spans="2:15" outlineLevel="1" x14ac:dyDescent="0.2">
      <c r="B250" s="722" t="s">
        <v>282</v>
      </c>
      <c r="C250" s="80"/>
      <c r="D250" s="275">
        <v>0</v>
      </c>
      <c r="E250" s="275">
        <v>0</v>
      </c>
      <c r="F250" s="275">
        <v>0</v>
      </c>
      <c r="G250" s="275">
        <v>0</v>
      </c>
      <c r="H250" s="275">
        <v>0</v>
      </c>
      <c r="I250" s="275">
        <v>0</v>
      </c>
      <c r="J250" s="275">
        <v>0</v>
      </c>
      <c r="K250" s="275">
        <v>0</v>
      </c>
      <c r="L250" s="275">
        <v>0</v>
      </c>
      <c r="M250" s="275">
        <v>0</v>
      </c>
      <c r="N250" s="275">
        <v>0</v>
      </c>
      <c r="O250" s="186"/>
    </row>
    <row r="251" spans="2:15" outlineLevel="1" x14ac:dyDescent="0.2">
      <c r="B251" s="722" t="s">
        <v>1</v>
      </c>
      <c r="C251" s="134">
        <f t="shared" ref="C251:N251" si="216">+C248*C245</f>
        <v>2723109.2437999998</v>
      </c>
      <c r="D251" s="134">
        <f t="shared" si="216"/>
        <v>2723109.2437999998</v>
      </c>
      <c r="E251" s="134">
        <f t="shared" si="216"/>
        <v>2723109.2437999998</v>
      </c>
      <c r="F251" s="134">
        <f t="shared" si="216"/>
        <v>2723109.2437999998</v>
      </c>
      <c r="G251" s="134">
        <f t="shared" si="216"/>
        <v>2723109.2437999998</v>
      </c>
      <c r="H251" s="134">
        <f t="shared" si="216"/>
        <v>2723109.2437999998</v>
      </c>
      <c r="I251" s="134">
        <f t="shared" si="216"/>
        <v>2723109.2437999998</v>
      </c>
      <c r="J251" s="134">
        <f t="shared" si="216"/>
        <v>2723109.2437999998</v>
      </c>
      <c r="K251" s="134">
        <f t="shared" si="216"/>
        <v>2723109.2437999998</v>
      </c>
      <c r="L251" s="134">
        <f t="shared" si="216"/>
        <v>2723109.2437999998</v>
      </c>
      <c r="M251" s="134">
        <f t="shared" si="216"/>
        <v>2723109.2437999998</v>
      </c>
      <c r="N251" s="134">
        <f t="shared" si="216"/>
        <v>2723109.2437999998</v>
      </c>
      <c r="O251" s="134">
        <f>SUM(C251:N251)</f>
        <v>32677310.925599996</v>
      </c>
    </row>
    <row r="252" spans="2:15" ht="15" x14ac:dyDescent="0.25">
      <c r="B252" s="274" t="s">
        <v>501</v>
      </c>
      <c r="C252" s="81"/>
      <c r="D252" s="81"/>
      <c r="E252" s="81"/>
      <c r="F252" s="81"/>
      <c r="G252" s="81"/>
      <c r="H252" s="81"/>
      <c r="I252" s="81"/>
      <c r="J252" s="81"/>
      <c r="K252" s="81"/>
      <c r="L252" s="81"/>
      <c r="M252" s="81"/>
      <c r="N252" s="81"/>
      <c r="O252" s="81"/>
    </row>
    <row r="253" spans="2:15" outlineLevel="1" x14ac:dyDescent="0.2">
      <c r="B253" s="722" t="s">
        <v>283</v>
      </c>
      <c r="C253" s="186">
        <v>77.430000000000007</v>
      </c>
      <c r="D253" s="79">
        <f>+C253*(1+D255)</f>
        <v>77.430000000000007</v>
      </c>
      <c r="E253" s="79">
        <f t="shared" ref="E253" si="217">+D253*(1+E255)</f>
        <v>77.430000000000007</v>
      </c>
      <c r="F253" s="79">
        <f t="shared" ref="F253" si="218">+E253*(1+F255)</f>
        <v>77.430000000000007</v>
      </c>
      <c r="G253" s="79">
        <f t="shared" ref="G253" si="219">+F253*(1+G255)</f>
        <v>77.430000000000007</v>
      </c>
      <c r="H253" s="79">
        <f t="shared" ref="H253" si="220">+G253*(1+H255)</f>
        <v>77.430000000000007</v>
      </c>
      <c r="I253" s="79">
        <f t="shared" ref="I253" si="221">+H253*(1+I255)</f>
        <v>77.430000000000007</v>
      </c>
      <c r="J253" s="79">
        <f t="shared" ref="J253" si="222">+I253*(1+J255)</f>
        <v>77.430000000000007</v>
      </c>
      <c r="K253" s="79">
        <f t="shared" ref="K253" si="223">+J253*(1+K255)</f>
        <v>77.430000000000007</v>
      </c>
      <c r="L253" s="79">
        <f t="shared" ref="L253" si="224">+K253*(1+L255)</f>
        <v>77.430000000000007</v>
      </c>
      <c r="M253" s="79">
        <f t="shared" ref="M253" si="225">+L253*(1+M255)</f>
        <v>77.430000000000007</v>
      </c>
      <c r="N253" s="79">
        <f>+M253*(1+N255)</f>
        <v>77.430000000000007</v>
      </c>
      <c r="O253" s="79">
        <f>SUM(C253:N253)</f>
        <v>929.16000000000031</v>
      </c>
    </row>
    <row r="254" spans="2:15" outlineLevel="1" x14ac:dyDescent="0.2">
      <c r="B254" s="722"/>
      <c r="C254" s="32"/>
      <c r="D254" s="32"/>
      <c r="E254" s="32"/>
      <c r="F254" s="32"/>
      <c r="G254" s="32"/>
      <c r="H254" s="32"/>
      <c r="I254" s="32"/>
      <c r="J254" s="32"/>
      <c r="K254" s="32"/>
      <c r="L254" s="32"/>
      <c r="M254" s="32"/>
      <c r="N254" s="32"/>
      <c r="O254" s="79"/>
    </row>
    <row r="255" spans="2:15" outlineLevel="1" x14ac:dyDescent="0.2">
      <c r="B255" s="722" t="s">
        <v>282</v>
      </c>
      <c r="C255" s="80"/>
      <c r="D255" s="275"/>
      <c r="E255" s="275"/>
      <c r="F255" s="275"/>
      <c r="G255" s="275"/>
      <c r="H255" s="275"/>
      <c r="I255" s="275"/>
      <c r="J255" s="275"/>
      <c r="K255" s="275"/>
      <c r="L255" s="275"/>
      <c r="M255" s="275"/>
      <c r="N255" s="275"/>
      <c r="O255" s="186"/>
    </row>
    <row r="256" spans="2:15" outlineLevel="1" x14ac:dyDescent="0.2">
      <c r="B256" s="722" t="s">
        <v>249</v>
      </c>
      <c r="C256" s="186">
        <v>10431.34</v>
      </c>
      <c r="D256" s="79">
        <f>+C256*(1+D258)</f>
        <v>10431.34</v>
      </c>
      <c r="E256" s="79">
        <f t="shared" ref="E256" si="226">+D256*(1+E258)</f>
        <v>10431.34</v>
      </c>
      <c r="F256" s="79">
        <f t="shared" ref="F256" si="227">+E256*(1+F258)</f>
        <v>10431.34</v>
      </c>
      <c r="G256" s="79">
        <f t="shared" ref="G256" si="228">+F256*(1+G258)</f>
        <v>10431.34</v>
      </c>
      <c r="H256" s="79">
        <f t="shared" ref="H256" si="229">+G256*(1+H258)</f>
        <v>10431.34</v>
      </c>
      <c r="I256" s="79">
        <f t="shared" ref="I256" si="230">+H256*(1+I258)</f>
        <v>10431.34</v>
      </c>
      <c r="J256" s="79">
        <f t="shared" ref="J256" si="231">+I256*(1+J258)</f>
        <v>10431.34</v>
      </c>
      <c r="K256" s="79">
        <f t="shared" ref="K256" si="232">+J256*(1+K258)</f>
        <v>10431.34</v>
      </c>
      <c r="L256" s="79">
        <f t="shared" ref="L256" si="233">+K256*(1+L258)</f>
        <v>10431.34</v>
      </c>
      <c r="M256" s="79">
        <f t="shared" ref="M256" si="234">+L256*(1+M258)</f>
        <v>10431.34</v>
      </c>
      <c r="N256" s="79">
        <f>+M256*(1+N258)</f>
        <v>10431.34</v>
      </c>
      <c r="O256" s="79">
        <f>+N256</f>
        <v>10431.34</v>
      </c>
    </row>
    <row r="257" spans="2:15" outlineLevel="1" x14ac:dyDescent="0.2">
      <c r="B257" s="722"/>
      <c r="C257" s="32"/>
      <c r="D257" s="32"/>
      <c r="E257" s="32"/>
      <c r="F257" s="32"/>
      <c r="G257" s="32"/>
      <c r="H257" s="32"/>
      <c r="I257" s="32"/>
      <c r="J257" s="32"/>
      <c r="K257" s="32"/>
      <c r="L257" s="32"/>
      <c r="M257" s="32"/>
      <c r="N257" s="32"/>
      <c r="O257" s="79"/>
    </row>
    <row r="258" spans="2:15" outlineLevel="1" x14ac:dyDescent="0.2">
      <c r="B258" s="722" t="s">
        <v>282</v>
      </c>
      <c r="C258" s="80"/>
      <c r="D258" s="275">
        <v>0</v>
      </c>
      <c r="E258" s="275">
        <v>0</v>
      </c>
      <c r="F258" s="275">
        <v>0</v>
      </c>
      <c r="G258" s="275">
        <v>0</v>
      </c>
      <c r="H258" s="275">
        <v>0</v>
      </c>
      <c r="I258" s="275">
        <v>0</v>
      </c>
      <c r="J258" s="275">
        <v>0</v>
      </c>
      <c r="K258" s="275">
        <v>0</v>
      </c>
      <c r="L258" s="275">
        <v>0</v>
      </c>
      <c r="M258" s="275">
        <v>0</v>
      </c>
      <c r="N258" s="275">
        <v>0</v>
      </c>
      <c r="O258" s="186"/>
    </row>
    <row r="259" spans="2:15" outlineLevel="1" x14ac:dyDescent="0.2">
      <c r="B259" s="722" t="s">
        <v>1</v>
      </c>
      <c r="C259" s="134">
        <f t="shared" ref="C259:N259" si="235">+C256*C253</f>
        <v>807698.65620000008</v>
      </c>
      <c r="D259" s="134">
        <f t="shared" si="235"/>
        <v>807698.65620000008</v>
      </c>
      <c r="E259" s="134">
        <f t="shared" si="235"/>
        <v>807698.65620000008</v>
      </c>
      <c r="F259" s="134">
        <f t="shared" si="235"/>
        <v>807698.65620000008</v>
      </c>
      <c r="G259" s="134">
        <f t="shared" si="235"/>
        <v>807698.65620000008</v>
      </c>
      <c r="H259" s="134">
        <f t="shared" si="235"/>
        <v>807698.65620000008</v>
      </c>
      <c r="I259" s="134">
        <f t="shared" si="235"/>
        <v>807698.65620000008</v>
      </c>
      <c r="J259" s="134">
        <f t="shared" si="235"/>
        <v>807698.65620000008</v>
      </c>
      <c r="K259" s="134">
        <f t="shared" si="235"/>
        <v>807698.65620000008</v>
      </c>
      <c r="L259" s="134">
        <f t="shared" si="235"/>
        <v>807698.65620000008</v>
      </c>
      <c r="M259" s="134">
        <f t="shared" si="235"/>
        <v>807698.65620000008</v>
      </c>
      <c r="N259" s="134">
        <f t="shared" si="235"/>
        <v>807698.65620000008</v>
      </c>
      <c r="O259" s="134">
        <f>SUM(C259:N259)</f>
        <v>9692383.874400001</v>
      </c>
    </row>
    <row r="260" spans="2:15" ht="15" x14ac:dyDescent="0.25">
      <c r="B260" s="274" t="s">
        <v>502</v>
      </c>
      <c r="C260" s="81"/>
      <c r="D260" s="81"/>
      <c r="E260" s="81"/>
      <c r="F260" s="81"/>
      <c r="G260" s="81"/>
      <c r="H260" s="81"/>
      <c r="I260" s="81"/>
      <c r="J260" s="81"/>
      <c r="K260" s="81"/>
      <c r="L260" s="81"/>
      <c r="M260" s="81"/>
      <c r="N260" s="81"/>
      <c r="O260" s="81"/>
    </row>
    <row r="261" spans="2:15" outlineLevel="1" x14ac:dyDescent="0.2">
      <c r="B261" s="722" t="s">
        <v>283</v>
      </c>
      <c r="C261" s="186">
        <v>182.94</v>
      </c>
      <c r="D261" s="79">
        <f>+C261*(1+D263)</f>
        <v>182.94</v>
      </c>
      <c r="E261" s="79">
        <f t="shared" ref="E261" si="236">+D261*(1+E263)</f>
        <v>182.94</v>
      </c>
      <c r="F261" s="79">
        <f t="shared" ref="F261" si="237">+E261*(1+F263)</f>
        <v>182.94</v>
      </c>
      <c r="G261" s="79">
        <f t="shared" ref="G261" si="238">+F261*(1+G263)</f>
        <v>182.94</v>
      </c>
      <c r="H261" s="79">
        <f t="shared" ref="H261" si="239">+G261*(1+H263)</f>
        <v>182.94</v>
      </c>
      <c r="I261" s="79">
        <f t="shared" ref="I261" si="240">+H261*(1+I263)</f>
        <v>182.94</v>
      </c>
      <c r="J261" s="79">
        <f t="shared" ref="J261" si="241">+I261*(1+J263)</f>
        <v>182.94</v>
      </c>
      <c r="K261" s="79">
        <f t="shared" ref="K261" si="242">+J261*(1+K263)</f>
        <v>182.94</v>
      </c>
      <c r="L261" s="79">
        <f t="shared" ref="L261" si="243">+K261*(1+L263)</f>
        <v>182.94</v>
      </c>
      <c r="M261" s="79">
        <f t="shared" ref="M261" si="244">+L261*(1+M263)</f>
        <v>182.94</v>
      </c>
      <c r="N261" s="79">
        <f>+M261*(1+N263)</f>
        <v>182.94</v>
      </c>
      <c r="O261" s="79">
        <f>SUM(C261:N261)</f>
        <v>2195.2800000000002</v>
      </c>
    </row>
    <row r="262" spans="2:15" outlineLevel="1" x14ac:dyDescent="0.2">
      <c r="B262" s="722"/>
      <c r="C262" s="32"/>
      <c r="D262" s="32"/>
      <c r="E262" s="32"/>
      <c r="F262" s="32"/>
      <c r="G262" s="32"/>
      <c r="H262" s="32"/>
      <c r="I262" s="32"/>
      <c r="J262" s="32"/>
      <c r="K262" s="32"/>
      <c r="L262" s="32"/>
      <c r="M262" s="32"/>
      <c r="N262" s="32"/>
      <c r="O262" s="79"/>
    </row>
    <row r="263" spans="2:15" outlineLevel="1" x14ac:dyDescent="0.2">
      <c r="B263" s="722" t="s">
        <v>282</v>
      </c>
      <c r="C263" s="80"/>
      <c r="D263" s="275"/>
      <c r="E263" s="275"/>
      <c r="F263" s="275"/>
      <c r="G263" s="275"/>
      <c r="H263" s="275"/>
      <c r="I263" s="275"/>
      <c r="J263" s="275"/>
      <c r="K263" s="275"/>
      <c r="L263" s="275"/>
      <c r="M263" s="275"/>
      <c r="N263" s="275"/>
      <c r="O263" s="186"/>
    </row>
    <row r="264" spans="2:15" outlineLevel="1" x14ac:dyDescent="0.2">
      <c r="B264" s="722" t="s">
        <v>249</v>
      </c>
      <c r="C264" s="186">
        <v>2291.06</v>
      </c>
      <c r="D264" s="79">
        <f>+C264*(1+D266)</f>
        <v>2291.06</v>
      </c>
      <c r="E264" s="79">
        <f t="shared" ref="E264" si="245">+D264*(1+E266)</f>
        <v>2291.06</v>
      </c>
      <c r="F264" s="79">
        <f t="shared" ref="F264" si="246">+E264*(1+F266)</f>
        <v>2291.06</v>
      </c>
      <c r="G264" s="79">
        <f t="shared" ref="G264" si="247">+F264*(1+G266)</f>
        <v>2291.06</v>
      </c>
      <c r="H264" s="79">
        <f t="shared" ref="H264" si="248">+G264*(1+H266)</f>
        <v>2291.06</v>
      </c>
      <c r="I264" s="79">
        <f t="shared" ref="I264" si="249">+H264*(1+I266)</f>
        <v>2291.06</v>
      </c>
      <c r="J264" s="79">
        <f t="shared" ref="J264" si="250">+I264*(1+J266)</f>
        <v>2291.06</v>
      </c>
      <c r="K264" s="79">
        <f t="shared" ref="K264" si="251">+J264*(1+K266)</f>
        <v>2291.06</v>
      </c>
      <c r="L264" s="79">
        <f t="shared" ref="L264" si="252">+K264*(1+L266)</f>
        <v>2291.06</v>
      </c>
      <c r="M264" s="79">
        <f t="shared" ref="M264" si="253">+L264*(1+M266)</f>
        <v>2291.06</v>
      </c>
      <c r="N264" s="79">
        <f>+M264*(1+N266)</f>
        <v>2291.06</v>
      </c>
      <c r="O264" s="79">
        <f>+N264</f>
        <v>2291.06</v>
      </c>
    </row>
    <row r="265" spans="2:15" outlineLevel="1" x14ac:dyDescent="0.2">
      <c r="B265" s="722"/>
      <c r="C265" s="32"/>
      <c r="D265" s="32"/>
      <c r="E265" s="32"/>
      <c r="F265" s="32"/>
      <c r="G265" s="32"/>
      <c r="H265" s="32"/>
      <c r="I265" s="32"/>
      <c r="J265" s="32"/>
      <c r="K265" s="32"/>
      <c r="L265" s="32"/>
      <c r="M265" s="32"/>
      <c r="N265" s="32"/>
      <c r="O265" s="79"/>
    </row>
    <row r="266" spans="2:15" outlineLevel="1" x14ac:dyDescent="0.2">
      <c r="B266" s="722" t="s">
        <v>282</v>
      </c>
      <c r="C266" s="80"/>
      <c r="D266" s="275">
        <v>0</v>
      </c>
      <c r="E266" s="275">
        <v>0</v>
      </c>
      <c r="F266" s="275">
        <v>0</v>
      </c>
      <c r="G266" s="275">
        <v>0</v>
      </c>
      <c r="H266" s="275">
        <v>0</v>
      </c>
      <c r="I266" s="275">
        <v>0</v>
      </c>
      <c r="J266" s="275">
        <v>0</v>
      </c>
      <c r="K266" s="275">
        <v>0</v>
      </c>
      <c r="L266" s="275">
        <v>0</v>
      </c>
      <c r="M266" s="275">
        <v>0</v>
      </c>
      <c r="N266" s="275">
        <v>0</v>
      </c>
      <c r="O266" s="186"/>
    </row>
    <row r="267" spans="2:15" outlineLevel="1" x14ac:dyDescent="0.2">
      <c r="B267" s="722" t="s">
        <v>1</v>
      </c>
      <c r="C267" s="134">
        <f t="shared" ref="C267:N267" si="254">+C264*C261</f>
        <v>419126.51639999996</v>
      </c>
      <c r="D267" s="134">
        <f t="shared" si="254"/>
        <v>419126.51639999996</v>
      </c>
      <c r="E267" s="134">
        <f t="shared" si="254"/>
        <v>419126.51639999996</v>
      </c>
      <c r="F267" s="134">
        <f t="shared" si="254"/>
        <v>419126.51639999996</v>
      </c>
      <c r="G267" s="134">
        <f t="shared" si="254"/>
        <v>419126.51639999996</v>
      </c>
      <c r="H267" s="134">
        <f t="shared" si="254"/>
        <v>419126.51639999996</v>
      </c>
      <c r="I267" s="134">
        <f t="shared" si="254"/>
        <v>419126.51639999996</v>
      </c>
      <c r="J267" s="134">
        <f t="shared" si="254"/>
        <v>419126.51639999996</v>
      </c>
      <c r="K267" s="134">
        <f t="shared" si="254"/>
        <v>419126.51639999996</v>
      </c>
      <c r="L267" s="134">
        <f t="shared" si="254"/>
        <v>419126.51639999996</v>
      </c>
      <c r="M267" s="134">
        <f t="shared" si="254"/>
        <v>419126.51639999996</v>
      </c>
      <c r="N267" s="134">
        <f t="shared" si="254"/>
        <v>419126.51639999996</v>
      </c>
      <c r="O267" s="134">
        <f>SUM(C267:N267)</f>
        <v>5029518.1968</v>
      </c>
    </row>
    <row r="268" spans="2:15" ht="15" x14ac:dyDescent="0.25">
      <c r="B268" s="274" t="s">
        <v>503</v>
      </c>
      <c r="C268" s="81"/>
      <c r="D268" s="81"/>
      <c r="E268" s="81"/>
      <c r="F268" s="81"/>
      <c r="G268" s="81"/>
      <c r="H268" s="81"/>
      <c r="I268" s="81"/>
      <c r="J268" s="81"/>
      <c r="K268" s="81"/>
      <c r="L268" s="81"/>
      <c r="M268" s="81"/>
      <c r="N268" s="81"/>
      <c r="O268" s="81"/>
    </row>
    <row r="269" spans="2:15" outlineLevel="1" x14ac:dyDescent="0.2">
      <c r="B269" s="722" t="s">
        <v>283</v>
      </c>
      <c r="C269" s="186">
        <v>96.79</v>
      </c>
      <c r="D269" s="79">
        <f>+C269*(1+D271)</f>
        <v>96.79</v>
      </c>
      <c r="E269" s="79">
        <f t="shared" ref="E269" si="255">+D269*(1+E271)</f>
        <v>96.79</v>
      </c>
      <c r="F269" s="79">
        <f t="shared" ref="F269" si="256">+E269*(1+F271)</f>
        <v>96.79</v>
      </c>
      <c r="G269" s="79">
        <f t="shared" ref="G269" si="257">+F269*(1+G271)</f>
        <v>96.79</v>
      </c>
      <c r="H269" s="79">
        <f t="shared" ref="H269" si="258">+G269*(1+H271)</f>
        <v>96.79</v>
      </c>
      <c r="I269" s="79">
        <f t="shared" ref="I269" si="259">+H269*(1+I271)</f>
        <v>96.79</v>
      </c>
      <c r="J269" s="79">
        <f t="shared" ref="J269" si="260">+I269*(1+J271)</f>
        <v>96.79</v>
      </c>
      <c r="K269" s="79">
        <f t="shared" ref="K269" si="261">+J269*(1+K271)</f>
        <v>96.79</v>
      </c>
      <c r="L269" s="79">
        <f t="shared" ref="L269" si="262">+K269*(1+L271)</f>
        <v>96.79</v>
      </c>
      <c r="M269" s="79">
        <f t="shared" ref="M269" si="263">+L269*(1+M271)</f>
        <v>96.79</v>
      </c>
      <c r="N269" s="79">
        <f>+M269*(1+N271)</f>
        <v>96.79</v>
      </c>
      <c r="O269" s="79">
        <f>SUM(C269:N269)</f>
        <v>1161.4799999999998</v>
      </c>
    </row>
    <row r="270" spans="2:15" outlineLevel="1" x14ac:dyDescent="0.2">
      <c r="B270" s="722"/>
      <c r="C270" s="32"/>
      <c r="D270" s="32"/>
      <c r="E270" s="32"/>
      <c r="F270" s="32"/>
      <c r="G270" s="32"/>
      <c r="H270" s="32"/>
      <c r="I270" s="32"/>
      <c r="J270" s="32"/>
      <c r="K270" s="32"/>
      <c r="L270" s="32"/>
      <c r="M270" s="32"/>
      <c r="N270" s="32"/>
      <c r="O270" s="79"/>
    </row>
    <row r="271" spans="2:15" outlineLevel="1" x14ac:dyDescent="0.2">
      <c r="B271" s="722" t="s">
        <v>282</v>
      </c>
      <c r="C271" s="80"/>
      <c r="D271" s="275"/>
      <c r="E271" s="275"/>
      <c r="F271" s="275"/>
      <c r="G271" s="275"/>
      <c r="H271" s="275"/>
      <c r="I271" s="275"/>
      <c r="J271" s="275"/>
      <c r="K271" s="275"/>
      <c r="L271" s="275"/>
      <c r="M271" s="275"/>
      <c r="N271" s="275"/>
      <c r="O271" s="186"/>
    </row>
    <row r="272" spans="2:15" outlineLevel="1" x14ac:dyDescent="0.2">
      <c r="B272" s="722" t="s">
        <v>249</v>
      </c>
      <c r="C272" s="186">
        <v>1607.74</v>
      </c>
      <c r="D272" s="79">
        <f>+C272*(1+D274)</f>
        <v>1607.74</v>
      </c>
      <c r="E272" s="79">
        <f t="shared" ref="E272" si="264">+D272*(1+E274)</f>
        <v>1607.74</v>
      </c>
      <c r="F272" s="79">
        <f t="shared" ref="F272" si="265">+E272*(1+F274)</f>
        <v>1607.74</v>
      </c>
      <c r="G272" s="79">
        <f t="shared" ref="G272" si="266">+F272*(1+G274)</f>
        <v>1607.74</v>
      </c>
      <c r="H272" s="79">
        <f t="shared" ref="H272" si="267">+G272*(1+H274)</f>
        <v>1607.74</v>
      </c>
      <c r="I272" s="79">
        <f t="shared" ref="I272" si="268">+H272*(1+I274)</f>
        <v>1607.74</v>
      </c>
      <c r="J272" s="79">
        <f t="shared" ref="J272" si="269">+I272*(1+J274)</f>
        <v>1607.74</v>
      </c>
      <c r="K272" s="79">
        <f t="shared" ref="K272" si="270">+J272*(1+K274)</f>
        <v>1607.74</v>
      </c>
      <c r="L272" s="79">
        <f t="shared" ref="L272" si="271">+K272*(1+L274)</f>
        <v>1607.74</v>
      </c>
      <c r="M272" s="79">
        <f t="shared" ref="M272" si="272">+L272*(1+M274)</f>
        <v>1607.74</v>
      </c>
      <c r="N272" s="79">
        <f>+M272*(1+N274)</f>
        <v>1607.74</v>
      </c>
      <c r="O272" s="79">
        <f>+N272</f>
        <v>1607.74</v>
      </c>
    </row>
    <row r="273" spans="2:15" outlineLevel="1" x14ac:dyDescent="0.2">
      <c r="B273" s="722"/>
      <c r="C273" s="32"/>
      <c r="D273" s="32"/>
      <c r="E273" s="32"/>
      <c r="F273" s="32"/>
      <c r="G273" s="32"/>
      <c r="H273" s="32"/>
      <c r="I273" s="32"/>
      <c r="J273" s="32"/>
      <c r="K273" s="32"/>
      <c r="L273" s="32"/>
      <c r="M273" s="32"/>
      <c r="N273" s="32"/>
      <c r="O273" s="79"/>
    </row>
    <row r="274" spans="2:15" outlineLevel="1" x14ac:dyDescent="0.2">
      <c r="B274" s="722" t="s">
        <v>282</v>
      </c>
      <c r="C274" s="80"/>
      <c r="D274" s="275">
        <v>0</v>
      </c>
      <c r="E274" s="275">
        <v>0</v>
      </c>
      <c r="F274" s="275">
        <v>0</v>
      </c>
      <c r="G274" s="275">
        <v>0</v>
      </c>
      <c r="H274" s="275">
        <v>0</v>
      </c>
      <c r="I274" s="275">
        <v>0</v>
      </c>
      <c r="J274" s="275">
        <v>0</v>
      </c>
      <c r="K274" s="275">
        <v>0</v>
      </c>
      <c r="L274" s="275">
        <v>0</v>
      </c>
      <c r="M274" s="275">
        <v>0</v>
      </c>
      <c r="N274" s="275">
        <v>0</v>
      </c>
      <c r="O274" s="186"/>
    </row>
    <row r="275" spans="2:15" outlineLevel="1" x14ac:dyDescent="0.2">
      <c r="B275" s="722" t="s">
        <v>1</v>
      </c>
      <c r="C275" s="134">
        <f t="shared" ref="C275:N275" si="273">+C272*C269</f>
        <v>155613.15460000001</v>
      </c>
      <c r="D275" s="134">
        <f t="shared" si="273"/>
        <v>155613.15460000001</v>
      </c>
      <c r="E275" s="134">
        <f t="shared" si="273"/>
        <v>155613.15460000001</v>
      </c>
      <c r="F275" s="134">
        <f t="shared" si="273"/>
        <v>155613.15460000001</v>
      </c>
      <c r="G275" s="134">
        <f t="shared" si="273"/>
        <v>155613.15460000001</v>
      </c>
      <c r="H275" s="134">
        <f t="shared" si="273"/>
        <v>155613.15460000001</v>
      </c>
      <c r="I275" s="134">
        <f t="shared" si="273"/>
        <v>155613.15460000001</v>
      </c>
      <c r="J275" s="134">
        <f t="shared" si="273"/>
        <v>155613.15460000001</v>
      </c>
      <c r="K275" s="134">
        <f t="shared" si="273"/>
        <v>155613.15460000001</v>
      </c>
      <c r="L275" s="134">
        <f t="shared" si="273"/>
        <v>155613.15460000001</v>
      </c>
      <c r="M275" s="134">
        <f t="shared" si="273"/>
        <v>155613.15460000001</v>
      </c>
      <c r="N275" s="134">
        <f t="shared" si="273"/>
        <v>155613.15460000001</v>
      </c>
      <c r="O275" s="134">
        <f>SUM(C275:N275)</f>
        <v>1867357.8552000001</v>
      </c>
    </row>
    <row r="276" spans="2:15" ht="15" x14ac:dyDescent="0.25">
      <c r="B276" s="274" t="s">
        <v>504</v>
      </c>
      <c r="C276" s="81"/>
      <c r="D276" s="81"/>
      <c r="E276" s="81"/>
      <c r="F276" s="81"/>
      <c r="G276" s="81"/>
      <c r="H276" s="81"/>
      <c r="I276" s="81"/>
      <c r="J276" s="81"/>
      <c r="K276" s="81"/>
      <c r="L276" s="81"/>
      <c r="M276" s="81"/>
      <c r="N276" s="81"/>
      <c r="O276" s="81"/>
    </row>
    <row r="277" spans="2:15" outlineLevel="1" x14ac:dyDescent="0.2">
      <c r="B277" s="722" t="s">
        <v>283</v>
      </c>
      <c r="C277" s="186">
        <v>2521.46</v>
      </c>
      <c r="D277" s="79">
        <f>+C277*(1+D279)</f>
        <v>2521.46</v>
      </c>
      <c r="E277" s="79">
        <f t="shared" ref="E277" si="274">+D277*(1+E279)</f>
        <v>2521.46</v>
      </c>
      <c r="F277" s="79">
        <f t="shared" ref="F277" si="275">+E277*(1+F279)</f>
        <v>2521.46</v>
      </c>
      <c r="G277" s="79">
        <f t="shared" ref="G277" si="276">+F277*(1+G279)</f>
        <v>2521.46</v>
      </c>
      <c r="H277" s="79">
        <f t="shared" ref="H277" si="277">+G277*(1+H279)</f>
        <v>2521.46</v>
      </c>
      <c r="I277" s="79">
        <f t="shared" ref="I277" si="278">+H277*(1+I279)</f>
        <v>2521.46</v>
      </c>
      <c r="J277" s="79">
        <f t="shared" ref="J277" si="279">+I277*(1+J279)</f>
        <v>2521.46</v>
      </c>
      <c r="K277" s="79">
        <f t="shared" ref="K277" si="280">+J277*(1+K279)</f>
        <v>2521.46</v>
      </c>
      <c r="L277" s="79">
        <f t="shared" ref="L277" si="281">+K277*(1+L279)</f>
        <v>2521.46</v>
      </c>
      <c r="M277" s="79">
        <f t="shared" ref="M277" si="282">+L277*(1+M279)</f>
        <v>2521.46</v>
      </c>
      <c r="N277" s="79">
        <f>+M277*(1+N279)</f>
        <v>2521.46</v>
      </c>
      <c r="O277" s="79">
        <f>SUM(C277:N277)</f>
        <v>30257.519999999993</v>
      </c>
    </row>
    <row r="278" spans="2:15" outlineLevel="1" x14ac:dyDescent="0.2">
      <c r="B278" s="722"/>
      <c r="C278" s="32"/>
      <c r="D278" s="32"/>
      <c r="E278" s="32"/>
      <c r="F278" s="32"/>
      <c r="G278" s="32"/>
      <c r="H278" s="32"/>
      <c r="I278" s="32"/>
      <c r="J278" s="32"/>
      <c r="K278" s="32"/>
      <c r="L278" s="32"/>
      <c r="M278" s="32"/>
      <c r="N278" s="32"/>
      <c r="O278" s="79"/>
    </row>
    <row r="279" spans="2:15" outlineLevel="1" x14ac:dyDescent="0.2">
      <c r="B279" s="722" t="s">
        <v>282</v>
      </c>
      <c r="C279" s="80"/>
      <c r="D279" s="275"/>
      <c r="E279" s="275"/>
      <c r="F279" s="275"/>
      <c r="G279" s="275"/>
      <c r="H279" s="275"/>
      <c r="I279" s="275"/>
      <c r="J279" s="275"/>
      <c r="K279" s="275"/>
      <c r="L279" s="275"/>
      <c r="M279" s="275"/>
      <c r="N279" s="275"/>
      <c r="O279" s="186"/>
    </row>
    <row r="280" spans="2:15" outlineLevel="1" x14ac:dyDescent="0.2">
      <c r="B280" s="722" t="s">
        <v>249</v>
      </c>
      <c r="C280" s="186">
        <v>3078</v>
      </c>
      <c r="D280" s="79">
        <f>+C280*(1+D282)</f>
        <v>3078</v>
      </c>
      <c r="E280" s="79">
        <f t="shared" ref="E280" si="283">+D280*(1+E282)</f>
        <v>3078</v>
      </c>
      <c r="F280" s="79">
        <f t="shared" ref="F280" si="284">+E280*(1+F282)</f>
        <v>3078</v>
      </c>
      <c r="G280" s="79">
        <f t="shared" ref="G280" si="285">+F280*(1+G282)</f>
        <v>3078</v>
      </c>
      <c r="H280" s="79">
        <f t="shared" ref="H280" si="286">+G280*(1+H282)</f>
        <v>3078</v>
      </c>
      <c r="I280" s="79">
        <f t="shared" ref="I280" si="287">+H280*(1+I282)</f>
        <v>3078</v>
      </c>
      <c r="J280" s="79">
        <f t="shared" ref="J280" si="288">+I280*(1+J282)</f>
        <v>3078</v>
      </c>
      <c r="K280" s="79">
        <f t="shared" ref="K280" si="289">+J280*(1+K282)</f>
        <v>3078</v>
      </c>
      <c r="L280" s="79">
        <f t="shared" ref="L280" si="290">+K280*(1+L282)</f>
        <v>3078</v>
      </c>
      <c r="M280" s="79">
        <f t="shared" ref="M280" si="291">+L280*(1+M282)</f>
        <v>3078</v>
      </c>
      <c r="N280" s="79">
        <f>+M280*(1+N282)</f>
        <v>3078</v>
      </c>
      <c r="O280" s="79">
        <f>+N280</f>
        <v>3078</v>
      </c>
    </row>
    <row r="281" spans="2:15" outlineLevel="1" x14ac:dyDescent="0.2">
      <c r="B281" s="722"/>
      <c r="C281" s="32"/>
      <c r="D281" s="32"/>
      <c r="E281" s="32"/>
      <c r="F281" s="32"/>
      <c r="G281" s="32"/>
      <c r="H281" s="32"/>
      <c r="I281" s="32"/>
      <c r="J281" s="32"/>
      <c r="K281" s="32"/>
      <c r="L281" s="32"/>
      <c r="M281" s="32"/>
      <c r="N281" s="32"/>
      <c r="O281" s="79"/>
    </row>
    <row r="282" spans="2:15" outlineLevel="1" x14ac:dyDescent="0.2">
      <c r="B282" s="722" t="s">
        <v>282</v>
      </c>
      <c r="C282" s="80"/>
      <c r="D282" s="275">
        <v>0</v>
      </c>
      <c r="E282" s="275">
        <v>0</v>
      </c>
      <c r="F282" s="275">
        <v>0</v>
      </c>
      <c r="G282" s="275">
        <v>0</v>
      </c>
      <c r="H282" s="275">
        <v>0</v>
      </c>
      <c r="I282" s="275">
        <v>0</v>
      </c>
      <c r="J282" s="275">
        <v>0</v>
      </c>
      <c r="K282" s="275">
        <v>0</v>
      </c>
      <c r="L282" s="275">
        <v>0</v>
      </c>
      <c r="M282" s="275">
        <v>0</v>
      </c>
      <c r="N282" s="275">
        <v>0</v>
      </c>
      <c r="O282" s="186"/>
    </row>
    <row r="283" spans="2:15" outlineLevel="1" x14ac:dyDescent="0.2">
      <c r="B283" s="722" t="s">
        <v>1</v>
      </c>
      <c r="C283" s="134">
        <f t="shared" ref="C283:N283" si="292">+C280*C277</f>
        <v>7761053.8799999999</v>
      </c>
      <c r="D283" s="134">
        <f t="shared" si="292"/>
        <v>7761053.8799999999</v>
      </c>
      <c r="E283" s="134">
        <f t="shared" si="292"/>
        <v>7761053.8799999999</v>
      </c>
      <c r="F283" s="134">
        <f t="shared" si="292"/>
        <v>7761053.8799999999</v>
      </c>
      <c r="G283" s="134">
        <f t="shared" si="292"/>
        <v>7761053.8799999999</v>
      </c>
      <c r="H283" s="134">
        <f t="shared" si="292"/>
        <v>7761053.8799999999</v>
      </c>
      <c r="I283" s="134">
        <f t="shared" si="292"/>
        <v>7761053.8799999999</v>
      </c>
      <c r="J283" s="134">
        <f t="shared" si="292"/>
        <v>7761053.8799999999</v>
      </c>
      <c r="K283" s="134">
        <f t="shared" si="292"/>
        <v>7761053.8799999999</v>
      </c>
      <c r="L283" s="134">
        <f t="shared" si="292"/>
        <v>7761053.8799999999</v>
      </c>
      <c r="M283" s="134">
        <f t="shared" si="292"/>
        <v>7761053.8799999999</v>
      </c>
      <c r="N283" s="134">
        <f t="shared" si="292"/>
        <v>7761053.8799999999</v>
      </c>
      <c r="O283" s="134">
        <f>SUM(C283:N283)</f>
        <v>93132646.559999987</v>
      </c>
    </row>
    <row r="284" spans="2:15" ht="15" x14ac:dyDescent="0.25">
      <c r="B284" s="274" t="s">
        <v>505</v>
      </c>
      <c r="C284" s="81"/>
      <c r="D284" s="81"/>
      <c r="E284" s="81"/>
      <c r="F284" s="81"/>
      <c r="G284" s="81"/>
      <c r="H284" s="81"/>
      <c r="I284" s="81"/>
      <c r="J284" s="81"/>
      <c r="K284" s="81"/>
      <c r="L284" s="81"/>
      <c r="M284" s="81"/>
      <c r="N284" s="81"/>
      <c r="O284" s="81"/>
    </row>
    <row r="285" spans="2:15" outlineLevel="1" x14ac:dyDescent="0.2">
      <c r="B285" s="722" t="s">
        <v>283</v>
      </c>
      <c r="C285" s="186">
        <v>4404.09</v>
      </c>
      <c r="D285" s="79">
        <f>+C285*(1+D287)</f>
        <v>4404.09</v>
      </c>
      <c r="E285" s="79">
        <f t="shared" ref="E285" si="293">+D285*(1+E287)</f>
        <v>4404.09</v>
      </c>
      <c r="F285" s="79">
        <f t="shared" ref="F285" si="294">+E285*(1+F287)</f>
        <v>4404.09</v>
      </c>
      <c r="G285" s="79">
        <f t="shared" ref="G285" si="295">+F285*(1+G287)</f>
        <v>4404.09</v>
      </c>
      <c r="H285" s="79">
        <f t="shared" ref="H285" si="296">+G285*(1+H287)</f>
        <v>4404.09</v>
      </c>
      <c r="I285" s="79">
        <f t="shared" ref="I285" si="297">+H285*(1+I287)</f>
        <v>4404.09</v>
      </c>
      <c r="J285" s="79">
        <f t="shared" ref="J285" si="298">+I285*(1+J287)</f>
        <v>4404.09</v>
      </c>
      <c r="K285" s="79">
        <f t="shared" ref="K285" si="299">+J285*(1+K287)</f>
        <v>4404.09</v>
      </c>
      <c r="L285" s="79">
        <f t="shared" ref="L285" si="300">+K285*(1+L287)</f>
        <v>4404.09</v>
      </c>
      <c r="M285" s="79">
        <f t="shared" ref="M285" si="301">+L285*(1+M287)</f>
        <v>4404.09</v>
      </c>
      <c r="N285" s="79">
        <f>+M285*(1+N287)</f>
        <v>4404.09</v>
      </c>
      <c r="O285" s="79">
        <f>SUM(C285:N285)</f>
        <v>52849.079999999987</v>
      </c>
    </row>
    <row r="286" spans="2:15" outlineLevel="1" x14ac:dyDescent="0.2">
      <c r="B286" s="722"/>
      <c r="C286" s="32"/>
      <c r="D286" s="32"/>
      <c r="E286" s="32"/>
      <c r="F286" s="32"/>
      <c r="G286" s="32"/>
      <c r="H286" s="32"/>
      <c r="I286" s="32"/>
      <c r="J286" s="32"/>
      <c r="K286" s="32"/>
      <c r="L286" s="32"/>
      <c r="M286" s="32"/>
      <c r="N286" s="32"/>
      <c r="O286" s="79"/>
    </row>
    <row r="287" spans="2:15" outlineLevel="1" x14ac:dyDescent="0.2">
      <c r="B287" s="722" t="s">
        <v>282</v>
      </c>
      <c r="C287" s="80"/>
      <c r="D287" s="275"/>
      <c r="E287" s="275"/>
      <c r="F287" s="275"/>
      <c r="G287" s="275"/>
      <c r="H287" s="275"/>
      <c r="I287" s="275"/>
      <c r="J287" s="275"/>
      <c r="K287" s="275"/>
      <c r="L287" s="275"/>
      <c r="M287" s="275"/>
      <c r="N287" s="275"/>
      <c r="O287" s="186"/>
    </row>
    <row r="288" spans="2:15" outlineLevel="1" x14ac:dyDescent="0.2">
      <c r="B288" s="722" t="s">
        <v>249</v>
      </c>
      <c r="C288" s="186">
        <v>3283.2</v>
      </c>
      <c r="D288" s="79">
        <f>+C288*(1+D290)</f>
        <v>3283.2</v>
      </c>
      <c r="E288" s="79">
        <f t="shared" ref="E288" si="302">+D288*(1+E290)</f>
        <v>3283.2</v>
      </c>
      <c r="F288" s="79">
        <f t="shared" ref="F288" si="303">+E288*(1+F290)</f>
        <v>3283.2</v>
      </c>
      <c r="G288" s="79">
        <f t="shared" ref="G288" si="304">+F288*(1+G290)</f>
        <v>3283.2</v>
      </c>
      <c r="H288" s="79">
        <f t="shared" ref="H288" si="305">+G288*(1+H290)</f>
        <v>3283.2</v>
      </c>
      <c r="I288" s="79">
        <f t="shared" ref="I288" si="306">+H288*(1+I290)</f>
        <v>3283.2</v>
      </c>
      <c r="J288" s="79">
        <f t="shared" ref="J288" si="307">+I288*(1+J290)</f>
        <v>3283.2</v>
      </c>
      <c r="K288" s="79">
        <f t="shared" ref="K288" si="308">+J288*(1+K290)</f>
        <v>3283.2</v>
      </c>
      <c r="L288" s="79">
        <f t="shared" ref="L288" si="309">+K288*(1+L290)</f>
        <v>3283.2</v>
      </c>
      <c r="M288" s="79">
        <f t="shared" ref="M288" si="310">+L288*(1+M290)</f>
        <v>3283.2</v>
      </c>
      <c r="N288" s="79">
        <f>+M288*(1+N290)</f>
        <v>3283.2</v>
      </c>
      <c r="O288" s="79">
        <f>+N288</f>
        <v>3283.2</v>
      </c>
    </row>
    <row r="289" spans="2:15" outlineLevel="1" x14ac:dyDescent="0.2">
      <c r="B289" s="722"/>
      <c r="C289" s="32"/>
      <c r="D289" s="32"/>
      <c r="E289" s="32"/>
      <c r="F289" s="32"/>
      <c r="G289" s="32"/>
      <c r="H289" s="32"/>
      <c r="I289" s="32"/>
      <c r="J289" s="32"/>
      <c r="K289" s="32"/>
      <c r="L289" s="32"/>
      <c r="M289" s="32"/>
      <c r="N289" s="32"/>
      <c r="O289" s="79"/>
    </row>
    <row r="290" spans="2:15" outlineLevel="1" x14ac:dyDescent="0.2">
      <c r="B290" s="722" t="s">
        <v>282</v>
      </c>
      <c r="C290" s="80"/>
      <c r="D290" s="275">
        <v>0</v>
      </c>
      <c r="E290" s="275">
        <v>0</v>
      </c>
      <c r="F290" s="275">
        <v>0</v>
      </c>
      <c r="G290" s="275">
        <v>0</v>
      </c>
      <c r="H290" s="275">
        <v>0</v>
      </c>
      <c r="I290" s="275">
        <v>0</v>
      </c>
      <c r="J290" s="275">
        <v>0</v>
      </c>
      <c r="K290" s="275">
        <v>0</v>
      </c>
      <c r="L290" s="275">
        <v>0</v>
      </c>
      <c r="M290" s="275">
        <v>0</v>
      </c>
      <c r="N290" s="275">
        <v>0</v>
      </c>
      <c r="O290" s="186"/>
    </row>
    <row r="291" spans="2:15" outlineLevel="1" x14ac:dyDescent="0.2">
      <c r="B291" s="722" t="s">
        <v>1</v>
      </c>
      <c r="C291" s="134">
        <f t="shared" ref="C291:N291" si="311">+C288*C285</f>
        <v>14459508.287999999</v>
      </c>
      <c r="D291" s="134">
        <f t="shared" si="311"/>
        <v>14459508.287999999</v>
      </c>
      <c r="E291" s="134">
        <f t="shared" si="311"/>
        <v>14459508.287999999</v>
      </c>
      <c r="F291" s="134">
        <f t="shared" si="311"/>
        <v>14459508.287999999</v>
      </c>
      <c r="G291" s="134">
        <f t="shared" si="311"/>
        <v>14459508.287999999</v>
      </c>
      <c r="H291" s="134">
        <f t="shared" si="311"/>
        <v>14459508.287999999</v>
      </c>
      <c r="I291" s="134">
        <f t="shared" si="311"/>
        <v>14459508.287999999</v>
      </c>
      <c r="J291" s="134">
        <f t="shared" si="311"/>
        <v>14459508.287999999</v>
      </c>
      <c r="K291" s="134">
        <f t="shared" si="311"/>
        <v>14459508.287999999</v>
      </c>
      <c r="L291" s="134">
        <f t="shared" si="311"/>
        <v>14459508.287999999</v>
      </c>
      <c r="M291" s="134">
        <f t="shared" si="311"/>
        <v>14459508.287999999</v>
      </c>
      <c r="N291" s="134">
        <f t="shared" si="311"/>
        <v>14459508.287999999</v>
      </c>
      <c r="O291" s="134">
        <f>SUM(C291:N291)</f>
        <v>173514099.45599997</v>
      </c>
    </row>
    <row r="292" spans="2:15" ht="15" x14ac:dyDescent="0.25">
      <c r="B292" s="274" t="s">
        <v>506</v>
      </c>
      <c r="C292" s="81"/>
      <c r="D292" s="81"/>
      <c r="E292" s="81"/>
      <c r="F292" s="81"/>
      <c r="G292" s="81"/>
      <c r="H292" s="81"/>
      <c r="I292" s="81"/>
      <c r="J292" s="81"/>
      <c r="K292" s="81"/>
      <c r="L292" s="81"/>
      <c r="M292" s="81"/>
      <c r="N292" s="81"/>
      <c r="O292" s="81"/>
    </row>
    <row r="293" spans="2:15" outlineLevel="1" x14ac:dyDescent="0.2">
      <c r="B293" s="722" t="s">
        <v>283</v>
      </c>
      <c r="C293" s="186">
        <v>138.43</v>
      </c>
      <c r="D293" s="79">
        <f>+C293*(1+D295)</f>
        <v>138.43</v>
      </c>
      <c r="E293" s="79">
        <f t="shared" ref="E293" si="312">+D293*(1+E295)</f>
        <v>138.43</v>
      </c>
      <c r="F293" s="79">
        <f t="shared" ref="F293" si="313">+E293*(1+F295)</f>
        <v>138.43</v>
      </c>
      <c r="G293" s="79">
        <f t="shared" ref="G293" si="314">+F293*(1+G295)</f>
        <v>138.43</v>
      </c>
      <c r="H293" s="79">
        <f t="shared" ref="H293" si="315">+G293*(1+H295)</f>
        <v>138.43</v>
      </c>
      <c r="I293" s="79">
        <f t="shared" ref="I293" si="316">+H293*(1+I295)</f>
        <v>138.43</v>
      </c>
      <c r="J293" s="79">
        <f t="shared" ref="J293" si="317">+I293*(1+J295)</f>
        <v>138.43</v>
      </c>
      <c r="K293" s="79">
        <f t="shared" ref="K293" si="318">+J293*(1+K295)</f>
        <v>138.43</v>
      </c>
      <c r="L293" s="79">
        <f t="shared" ref="L293" si="319">+K293*(1+L295)</f>
        <v>138.43</v>
      </c>
      <c r="M293" s="79">
        <f t="shared" ref="M293" si="320">+L293*(1+M295)</f>
        <v>138.43</v>
      </c>
      <c r="N293" s="79">
        <f>+M293*(1+N295)</f>
        <v>138.43</v>
      </c>
      <c r="O293" s="79">
        <f>SUM(C293:N293)</f>
        <v>1661.1600000000005</v>
      </c>
    </row>
    <row r="294" spans="2:15" outlineLevel="1" x14ac:dyDescent="0.2">
      <c r="B294" s="722"/>
      <c r="C294" s="32"/>
      <c r="D294" s="32"/>
      <c r="E294" s="32"/>
      <c r="F294" s="32"/>
      <c r="G294" s="32"/>
      <c r="H294" s="32"/>
      <c r="I294" s="32"/>
      <c r="J294" s="32"/>
      <c r="K294" s="32"/>
      <c r="L294" s="32"/>
      <c r="M294" s="32"/>
      <c r="N294" s="32"/>
      <c r="O294" s="79"/>
    </row>
    <row r="295" spans="2:15" outlineLevel="1" x14ac:dyDescent="0.2">
      <c r="B295" s="722" t="s">
        <v>282</v>
      </c>
      <c r="C295" s="80"/>
      <c r="D295" s="275"/>
      <c r="E295" s="275"/>
      <c r="F295" s="275"/>
      <c r="G295" s="275"/>
      <c r="H295" s="275"/>
      <c r="I295" s="275"/>
      <c r="J295" s="275"/>
      <c r="K295" s="275"/>
      <c r="L295" s="275"/>
      <c r="M295" s="275"/>
      <c r="N295" s="275"/>
      <c r="O295" s="186"/>
    </row>
    <row r="296" spans="2:15" outlineLevel="1" x14ac:dyDescent="0.2">
      <c r="B296" s="722" t="s">
        <v>249</v>
      </c>
      <c r="C296" s="186">
        <v>2872.8</v>
      </c>
      <c r="D296" s="79">
        <f>+C296*(1+D298)</f>
        <v>2872.8</v>
      </c>
      <c r="E296" s="79">
        <f t="shared" ref="E296" si="321">+D296*(1+E298)</f>
        <v>2872.8</v>
      </c>
      <c r="F296" s="79">
        <f t="shared" ref="F296" si="322">+E296*(1+F298)</f>
        <v>2872.8</v>
      </c>
      <c r="G296" s="79">
        <f t="shared" ref="G296" si="323">+F296*(1+G298)</f>
        <v>2872.8</v>
      </c>
      <c r="H296" s="79">
        <f t="shared" ref="H296" si="324">+G296*(1+H298)</f>
        <v>2872.8</v>
      </c>
      <c r="I296" s="79">
        <f t="shared" ref="I296" si="325">+H296*(1+I298)</f>
        <v>2872.8</v>
      </c>
      <c r="J296" s="79">
        <f t="shared" ref="J296" si="326">+I296*(1+J298)</f>
        <v>2872.8</v>
      </c>
      <c r="K296" s="79">
        <f t="shared" ref="K296" si="327">+J296*(1+K298)</f>
        <v>2872.8</v>
      </c>
      <c r="L296" s="79">
        <f t="shared" ref="L296" si="328">+K296*(1+L298)</f>
        <v>2872.8</v>
      </c>
      <c r="M296" s="79">
        <f t="shared" ref="M296" si="329">+L296*(1+M298)</f>
        <v>2872.8</v>
      </c>
      <c r="N296" s="79">
        <f>+M296*(1+N298)</f>
        <v>2872.8</v>
      </c>
      <c r="O296" s="79">
        <f>+N296</f>
        <v>2872.8</v>
      </c>
    </row>
    <row r="297" spans="2:15" outlineLevel="1" x14ac:dyDescent="0.2">
      <c r="B297" s="722"/>
      <c r="C297" s="32"/>
      <c r="D297" s="32"/>
      <c r="E297" s="32"/>
      <c r="F297" s="32"/>
      <c r="G297" s="32"/>
      <c r="H297" s="32"/>
      <c r="I297" s="32"/>
      <c r="J297" s="32"/>
      <c r="K297" s="32"/>
      <c r="L297" s="32"/>
      <c r="M297" s="32"/>
      <c r="N297" s="32"/>
      <c r="O297" s="79"/>
    </row>
    <row r="298" spans="2:15" outlineLevel="1" x14ac:dyDescent="0.2">
      <c r="B298" s="722" t="s">
        <v>282</v>
      </c>
      <c r="C298" s="80"/>
      <c r="D298" s="275">
        <v>0</v>
      </c>
      <c r="E298" s="275">
        <v>0</v>
      </c>
      <c r="F298" s="275">
        <v>0</v>
      </c>
      <c r="G298" s="275">
        <v>0</v>
      </c>
      <c r="H298" s="275">
        <v>0</v>
      </c>
      <c r="I298" s="275">
        <v>0</v>
      </c>
      <c r="J298" s="275">
        <v>0</v>
      </c>
      <c r="K298" s="275">
        <v>0</v>
      </c>
      <c r="L298" s="275">
        <v>0</v>
      </c>
      <c r="M298" s="275">
        <v>0</v>
      </c>
      <c r="N298" s="275">
        <v>0</v>
      </c>
      <c r="O298" s="186"/>
    </row>
    <row r="299" spans="2:15" outlineLevel="1" x14ac:dyDescent="0.2">
      <c r="B299" s="722" t="s">
        <v>1</v>
      </c>
      <c r="C299" s="134">
        <f t="shared" ref="C299:N299" si="330">+C296*C293</f>
        <v>397681.70400000003</v>
      </c>
      <c r="D299" s="134">
        <f t="shared" si="330"/>
        <v>397681.70400000003</v>
      </c>
      <c r="E299" s="134">
        <f t="shared" si="330"/>
        <v>397681.70400000003</v>
      </c>
      <c r="F299" s="134">
        <f t="shared" si="330"/>
        <v>397681.70400000003</v>
      </c>
      <c r="G299" s="134">
        <f t="shared" si="330"/>
        <v>397681.70400000003</v>
      </c>
      <c r="H299" s="134">
        <f t="shared" si="330"/>
        <v>397681.70400000003</v>
      </c>
      <c r="I299" s="134">
        <f t="shared" si="330"/>
        <v>397681.70400000003</v>
      </c>
      <c r="J299" s="134">
        <f t="shared" si="330"/>
        <v>397681.70400000003</v>
      </c>
      <c r="K299" s="134">
        <f t="shared" si="330"/>
        <v>397681.70400000003</v>
      </c>
      <c r="L299" s="134">
        <f t="shared" si="330"/>
        <v>397681.70400000003</v>
      </c>
      <c r="M299" s="134">
        <f t="shared" si="330"/>
        <v>397681.70400000003</v>
      </c>
      <c r="N299" s="134">
        <f t="shared" si="330"/>
        <v>397681.70400000003</v>
      </c>
      <c r="O299" s="134">
        <f>SUM(C299:N299)</f>
        <v>4772180.4479999999</v>
      </c>
    </row>
    <row r="300" spans="2:15" ht="15" x14ac:dyDescent="0.25">
      <c r="B300" s="274" t="s">
        <v>507</v>
      </c>
      <c r="C300" s="81"/>
      <c r="D300" s="81"/>
      <c r="E300" s="81"/>
      <c r="F300" s="81"/>
      <c r="G300" s="81"/>
      <c r="H300" s="81"/>
      <c r="I300" s="81"/>
      <c r="J300" s="81"/>
      <c r="K300" s="81"/>
      <c r="L300" s="81"/>
      <c r="M300" s="81"/>
      <c r="N300" s="81"/>
      <c r="O300" s="81"/>
    </row>
    <row r="301" spans="2:15" outlineLevel="1" x14ac:dyDescent="0.2">
      <c r="B301" s="722" t="s">
        <v>283</v>
      </c>
      <c r="C301" s="186">
        <v>71.14</v>
      </c>
      <c r="D301" s="79">
        <f>+C301*(1+D303)</f>
        <v>71.14</v>
      </c>
      <c r="E301" s="79">
        <f t="shared" ref="E301" si="331">+D301*(1+E303)</f>
        <v>71.14</v>
      </c>
      <c r="F301" s="79">
        <f t="shared" ref="F301" si="332">+E301*(1+F303)</f>
        <v>71.14</v>
      </c>
      <c r="G301" s="79">
        <f t="shared" ref="G301" si="333">+F301*(1+G303)</f>
        <v>71.14</v>
      </c>
      <c r="H301" s="79">
        <f t="shared" ref="H301" si="334">+G301*(1+H303)</f>
        <v>71.14</v>
      </c>
      <c r="I301" s="79">
        <f t="shared" ref="I301" si="335">+H301*(1+I303)</f>
        <v>71.14</v>
      </c>
      <c r="J301" s="79">
        <f t="shared" ref="J301" si="336">+I301*(1+J303)</f>
        <v>71.14</v>
      </c>
      <c r="K301" s="79">
        <f t="shared" ref="K301" si="337">+J301*(1+K303)</f>
        <v>71.14</v>
      </c>
      <c r="L301" s="79">
        <f t="shared" ref="L301" si="338">+K301*(1+L303)</f>
        <v>71.14</v>
      </c>
      <c r="M301" s="79">
        <f t="shared" ref="M301" si="339">+L301*(1+M303)</f>
        <v>71.14</v>
      </c>
      <c r="N301" s="79">
        <f>+M301*(1+N303)</f>
        <v>71.14</v>
      </c>
      <c r="O301" s="79">
        <f>SUM(C301:N301)</f>
        <v>853.68</v>
      </c>
    </row>
    <row r="302" spans="2:15" outlineLevel="1" x14ac:dyDescent="0.2">
      <c r="B302" s="722"/>
      <c r="C302" s="32"/>
      <c r="D302" s="32"/>
      <c r="E302" s="32"/>
      <c r="F302" s="32"/>
      <c r="G302" s="32"/>
      <c r="H302" s="32"/>
      <c r="I302" s="32"/>
      <c r="J302" s="32"/>
      <c r="K302" s="32"/>
      <c r="L302" s="32"/>
      <c r="M302" s="32"/>
      <c r="N302" s="32"/>
      <c r="O302" s="79"/>
    </row>
    <row r="303" spans="2:15" outlineLevel="1" x14ac:dyDescent="0.2">
      <c r="B303" s="722" t="s">
        <v>282</v>
      </c>
      <c r="C303" s="80"/>
      <c r="D303" s="275"/>
      <c r="E303" s="275"/>
      <c r="F303" s="275"/>
      <c r="G303" s="275"/>
      <c r="H303" s="275"/>
      <c r="I303" s="275"/>
      <c r="J303" s="275"/>
      <c r="K303" s="275"/>
      <c r="L303" s="275"/>
      <c r="M303" s="275"/>
      <c r="N303" s="275"/>
      <c r="O303" s="186"/>
    </row>
    <row r="304" spans="2:15" outlineLevel="1" x14ac:dyDescent="0.2">
      <c r="B304" s="722" t="s">
        <v>249</v>
      </c>
      <c r="C304" s="186">
        <v>2701.46</v>
      </c>
      <c r="D304" s="79">
        <f>+C304*(1+D306)</f>
        <v>2701.46</v>
      </c>
      <c r="E304" s="79">
        <f t="shared" ref="E304" si="340">+D304*(1+E306)</f>
        <v>2701.46</v>
      </c>
      <c r="F304" s="79">
        <f t="shared" ref="F304" si="341">+E304*(1+F306)</f>
        <v>2701.46</v>
      </c>
      <c r="G304" s="79">
        <f t="shared" ref="G304" si="342">+F304*(1+G306)</f>
        <v>2701.46</v>
      </c>
      <c r="H304" s="79">
        <f t="shared" ref="H304" si="343">+G304*(1+H306)</f>
        <v>2701.46</v>
      </c>
      <c r="I304" s="79">
        <f t="shared" ref="I304" si="344">+H304*(1+I306)</f>
        <v>2701.46</v>
      </c>
      <c r="J304" s="79">
        <f t="shared" ref="J304" si="345">+I304*(1+J306)</f>
        <v>2701.46</v>
      </c>
      <c r="K304" s="79">
        <f t="shared" ref="K304" si="346">+J304*(1+K306)</f>
        <v>2701.46</v>
      </c>
      <c r="L304" s="79">
        <f t="shared" ref="L304" si="347">+K304*(1+L306)</f>
        <v>2701.46</v>
      </c>
      <c r="M304" s="79">
        <f t="shared" ref="M304" si="348">+L304*(1+M306)</f>
        <v>2701.46</v>
      </c>
      <c r="N304" s="79">
        <f>+M304*(1+N306)</f>
        <v>2701.46</v>
      </c>
      <c r="O304" s="79">
        <f>+N304</f>
        <v>2701.46</v>
      </c>
    </row>
    <row r="305" spans="2:15" outlineLevel="1" x14ac:dyDescent="0.2">
      <c r="B305" s="722"/>
      <c r="C305" s="32"/>
      <c r="D305" s="32"/>
      <c r="E305" s="32"/>
      <c r="F305" s="32"/>
      <c r="G305" s="32"/>
      <c r="H305" s="32"/>
      <c r="I305" s="32"/>
      <c r="J305" s="32"/>
      <c r="K305" s="32"/>
      <c r="L305" s="32"/>
      <c r="M305" s="32"/>
      <c r="N305" s="32"/>
      <c r="O305" s="79"/>
    </row>
    <row r="306" spans="2:15" outlineLevel="1" x14ac:dyDescent="0.2">
      <c r="B306" s="722" t="s">
        <v>282</v>
      </c>
      <c r="C306" s="80"/>
      <c r="D306" s="275">
        <v>0</v>
      </c>
      <c r="E306" s="275">
        <v>0</v>
      </c>
      <c r="F306" s="275">
        <v>0</v>
      </c>
      <c r="G306" s="275">
        <v>0</v>
      </c>
      <c r="H306" s="275">
        <v>0</v>
      </c>
      <c r="I306" s="275">
        <v>0</v>
      </c>
      <c r="J306" s="275">
        <v>0</v>
      </c>
      <c r="K306" s="275">
        <v>0</v>
      </c>
      <c r="L306" s="275">
        <v>0</v>
      </c>
      <c r="M306" s="275">
        <v>0</v>
      </c>
      <c r="N306" s="275">
        <v>0</v>
      </c>
      <c r="O306" s="186"/>
    </row>
    <row r="307" spans="2:15" outlineLevel="1" x14ac:dyDescent="0.2">
      <c r="B307" s="722" t="s">
        <v>1</v>
      </c>
      <c r="C307" s="134">
        <f t="shared" ref="C307:N307" si="349">+C304*C301</f>
        <v>192181.86439999999</v>
      </c>
      <c r="D307" s="134">
        <f t="shared" si="349"/>
        <v>192181.86439999999</v>
      </c>
      <c r="E307" s="134">
        <f t="shared" si="349"/>
        <v>192181.86439999999</v>
      </c>
      <c r="F307" s="134">
        <f t="shared" si="349"/>
        <v>192181.86439999999</v>
      </c>
      <c r="G307" s="134">
        <f t="shared" si="349"/>
        <v>192181.86439999999</v>
      </c>
      <c r="H307" s="134">
        <f t="shared" si="349"/>
        <v>192181.86439999999</v>
      </c>
      <c r="I307" s="134">
        <f t="shared" si="349"/>
        <v>192181.86439999999</v>
      </c>
      <c r="J307" s="134">
        <f t="shared" si="349"/>
        <v>192181.86439999999</v>
      </c>
      <c r="K307" s="134">
        <f t="shared" si="349"/>
        <v>192181.86439999999</v>
      </c>
      <c r="L307" s="134">
        <f t="shared" si="349"/>
        <v>192181.86439999999</v>
      </c>
      <c r="M307" s="134">
        <f t="shared" si="349"/>
        <v>192181.86439999999</v>
      </c>
      <c r="N307" s="134">
        <f t="shared" si="349"/>
        <v>192181.86439999999</v>
      </c>
      <c r="O307" s="134">
        <f>SUM(C307:N307)</f>
        <v>2306182.3728</v>
      </c>
    </row>
    <row r="308" spans="2:15" ht="15" x14ac:dyDescent="0.25">
      <c r="B308" s="274" t="s">
        <v>508</v>
      </c>
      <c r="C308" s="81"/>
      <c r="D308" s="81"/>
      <c r="E308" s="81"/>
      <c r="F308" s="81"/>
      <c r="G308" s="81"/>
      <c r="H308" s="81"/>
      <c r="I308" s="81"/>
      <c r="J308" s="81"/>
      <c r="K308" s="81"/>
      <c r="L308" s="81"/>
      <c r="M308" s="81"/>
      <c r="N308" s="81"/>
      <c r="O308" s="81"/>
    </row>
    <row r="309" spans="2:15" outlineLevel="1" x14ac:dyDescent="0.2">
      <c r="B309" s="722" t="s">
        <v>283</v>
      </c>
      <c r="C309" s="186">
        <v>135.51</v>
      </c>
      <c r="D309" s="79">
        <f>+C309*(1+D311)</f>
        <v>135.51</v>
      </c>
      <c r="E309" s="79">
        <f t="shared" ref="E309" si="350">+D309*(1+E311)</f>
        <v>135.51</v>
      </c>
      <c r="F309" s="79">
        <f t="shared" ref="F309" si="351">+E309*(1+F311)</f>
        <v>135.51</v>
      </c>
      <c r="G309" s="79">
        <f t="shared" ref="G309" si="352">+F309*(1+G311)</f>
        <v>135.51</v>
      </c>
      <c r="H309" s="79">
        <f t="shared" ref="H309" si="353">+G309*(1+H311)</f>
        <v>135.51</v>
      </c>
      <c r="I309" s="79">
        <f t="shared" ref="I309" si="354">+H309*(1+I311)</f>
        <v>135.51</v>
      </c>
      <c r="J309" s="79">
        <f t="shared" ref="J309" si="355">+I309*(1+J311)</f>
        <v>135.51</v>
      </c>
      <c r="K309" s="79">
        <f t="shared" ref="K309" si="356">+J309*(1+K311)</f>
        <v>135.51</v>
      </c>
      <c r="L309" s="79">
        <f t="shared" ref="L309" si="357">+K309*(1+L311)</f>
        <v>135.51</v>
      </c>
      <c r="M309" s="79">
        <f t="shared" ref="M309" si="358">+L309*(1+M311)</f>
        <v>135.51</v>
      </c>
      <c r="N309" s="79">
        <f>+M309*(1+N311)</f>
        <v>135.51</v>
      </c>
      <c r="O309" s="79">
        <f>SUM(C309:N309)</f>
        <v>1626.12</v>
      </c>
    </row>
    <row r="310" spans="2:15" outlineLevel="1" x14ac:dyDescent="0.2">
      <c r="B310" s="722"/>
      <c r="C310" s="32"/>
      <c r="D310" s="32"/>
      <c r="E310" s="32"/>
      <c r="F310" s="32"/>
      <c r="G310" s="32"/>
      <c r="H310" s="32"/>
      <c r="I310" s="32"/>
      <c r="J310" s="32"/>
      <c r="K310" s="32"/>
      <c r="L310" s="32"/>
      <c r="M310" s="32"/>
      <c r="N310" s="32"/>
      <c r="O310" s="79"/>
    </row>
    <row r="311" spans="2:15" outlineLevel="1" x14ac:dyDescent="0.2">
      <c r="B311" s="722" t="s">
        <v>282</v>
      </c>
      <c r="C311" s="80"/>
      <c r="D311" s="275"/>
      <c r="E311" s="275"/>
      <c r="F311" s="275"/>
      <c r="G311" s="275"/>
      <c r="H311" s="275"/>
      <c r="I311" s="275"/>
      <c r="J311" s="275"/>
      <c r="K311" s="275"/>
      <c r="L311" s="275"/>
      <c r="M311" s="275"/>
      <c r="N311" s="275"/>
      <c r="O311" s="186"/>
    </row>
    <row r="312" spans="2:15" outlineLevel="1" x14ac:dyDescent="0.2">
      <c r="B312" s="722" t="s">
        <v>249</v>
      </c>
      <c r="C312" s="186">
        <v>2736.34</v>
      </c>
      <c r="D312" s="79">
        <f>+C312*(1+D314)</f>
        <v>2736.34</v>
      </c>
      <c r="E312" s="79">
        <f t="shared" ref="E312" si="359">+D312*(1+E314)</f>
        <v>2736.34</v>
      </c>
      <c r="F312" s="79">
        <f t="shared" ref="F312" si="360">+E312*(1+F314)</f>
        <v>2736.34</v>
      </c>
      <c r="G312" s="79">
        <f t="shared" ref="G312" si="361">+F312*(1+G314)</f>
        <v>2736.34</v>
      </c>
      <c r="H312" s="79">
        <f t="shared" ref="H312" si="362">+G312*(1+H314)</f>
        <v>2736.34</v>
      </c>
      <c r="I312" s="79">
        <f t="shared" ref="I312" si="363">+H312*(1+I314)</f>
        <v>2736.34</v>
      </c>
      <c r="J312" s="79">
        <f t="shared" ref="J312" si="364">+I312*(1+J314)</f>
        <v>2736.34</v>
      </c>
      <c r="K312" s="79">
        <f t="shared" ref="K312" si="365">+J312*(1+K314)</f>
        <v>2736.34</v>
      </c>
      <c r="L312" s="79">
        <f t="shared" ref="L312" si="366">+K312*(1+L314)</f>
        <v>2736.34</v>
      </c>
      <c r="M312" s="79">
        <f t="shared" ref="M312" si="367">+L312*(1+M314)</f>
        <v>2736.34</v>
      </c>
      <c r="N312" s="79">
        <f>+M312*(1+N314)</f>
        <v>2736.34</v>
      </c>
      <c r="O312" s="79">
        <f>+N312</f>
        <v>2736.34</v>
      </c>
    </row>
    <row r="313" spans="2:15" outlineLevel="1" x14ac:dyDescent="0.2">
      <c r="B313" s="722"/>
      <c r="C313" s="32"/>
      <c r="D313" s="32"/>
      <c r="E313" s="32"/>
      <c r="F313" s="32"/>
      <c r="G313" s="32"/>
      <c r="H313" s="32"/>
      <c r="I313" s="32"/>
      <c r="J313" s="32"/>
      <c r="K313" s="32"/>
      <c r="L313" s="32"/>
      <c r="M313" s="32"/>
      <c r="N313" s="32"/>
      <c r="O313" s="79"/>
    </row>
    <row r="314" spans="2:15" outlineLevel="1" x14ac:dyDescent="0.2">
      <c r="B314" s="722" t="s">
        <v>282</v>
      </c>
      <c r="C314" s="80"/>
      <c r="D314" s="275">
        <v>0</v>
      </c>
      <c r="E314" s="275">
        <v>0</v>
      </c>
      <c r="F314" s="275">
        <v>0</v>
      </c>
      <c r="G314" s="275">
        <v>0</v>
      </c>
      <c r="H314" s="275">
        <v>0</v>
      </c>
      <c r="I314" s="275">
        <v>0</v>
      </c>
      <c r="J314" s="275">
        <v>0</v>
      </c>
      <c r="K314" s="275">
        <v>0</v>
      </c>
      <c r="L314" s="275">
        <v>0</v>
      </c>
      <c r="M314" s="275">
        <v>0</v>
      </c>
      <c r="N314" s="275">
        <v>0</v>
      </c>
      <c r="O314" s="186"/>
    </row>
    <row r="315" spans="2:15" outlineLevel="1" x14ac:dyDescent="0.2">
      <c r="B315" s="722" t="s">
        <v>1</v>
      </c>
      <c r="C315" s="134">
        <f t="shared" ref="C315:N315" si="368">+C312*C309</f>
        <v>370801.43339999998</v>
      </c>
      <c r="D315" s="134">
        <f t="shared" si="368"/>
        <v>370801.43339999998</v>
      </c>
      <c r="E315" s="134">
        <f t="shared" si="368"/>
        <v>370801.43339999998</v>
      </c>
      <c r="F315" s="134">
        <f t="shared" si="368"/>
        <v>370801.43339999998</v>
      </c>
      <c r="G315" s="134">
        <f t="shared" si="368"/>
        <v>370801.43339999998</v>
      </c>
      <c r="H315" s="134">
        <f t="shared" si="368"/>
        <v>370801.43339999998</v>
      </c>
      <c r="I315" s="134">
        <f t="shared" si="368"/>
        <v>370801.43339999998</v>
      </c>
      <c r="J315" s="134">
        <f t="shared" si="368"/>
        <v>370801.43339999998</v>
      </c>
      <c r="K315" s="134">
        <f t="shared" si="368"/>
        <v>370801.43339999998</v>
      </c>
      <c r="L315" s="134">
        <f t="shared" si="368"/>
        <v>370801.43339999998</v>
      </c>
      <c r="M315" s="134">
        <f t="shared" si="368"/>
        <v>370801.43339999998</v>
      </c>
      <c r="N315" s="134">
        <f t="shared" si="368"/>
        <v>370801.43339999998</v>
      </c>
      <c r="O315" s="134">
        <f>SUM(C315:N315)</f>
        <v>4449617.2007999998</v>
      </c>
    </row>
    <row r="316" spans="2:15" ht="15" x14ac:dyDescent="0.25">
      <c r="B316" s="274" t="s">
        <v>509</v>
      </c>
      <c r="C316" s="81"/>
      <c r="D316" s="81"/>
      <c r="E316" s="81"/>
      <c r="F316" s="81"/>
      <c r="G316" s="81"/>
      <c r="H316" s="81"/>
      <c r="I316" s="81"/>
      <c r="J316" s="81"/>
      <c r="K316" s="81"/>
      <c r="L316" s="81"/>
      <c r="M316" s="81"/>
      <c r="N316" s="81"/>
      <c r="O316" s="81"/>
    </row>
    <row r="317" spans="2:15" outlineLevel="1" x14ac:dyDescent="0.2">
      <c r="B317" s="722" t="s">
        <v>283</v>
      </c>
      <c r="C317" s="186">
        <v>223.59</v>
      </c>
      <c r="D317" s="79">
        <f>+C317*(1+D319)</f>
        <v>223.59</v>
      </c>
      <c r="E317" s="79">
        <f t="shared" ref="E317" si="369">+D317*(1+E319)</f>
        <v>223.59</v>
      </c>
      <c r="F317" s="79">
        <f t="shared" ref="F317" si="370">+E317*(1+F319)</f>
        <v>223.59</v>
      </c>
      <c r="G317" s="79">
        <f t="shared" ref="G317" si="371">+F317*(1+G319)</f>
        <v>223.59</v>
      </c>
      <c r="H317" s="79">
        <f t="shared" ref="H317" si="372">+G317*(1+H319)</f>
        <v>223.59</v>
      </c>
      <c r="I317" s="79">
        <f t="shared" ref="I317" si="373">+H317*(1+I319)</f>
        <v>223.59</v>
      </c>
      <c r="J317" s="79">
        <f t="shared" ref="J317" si="374">+I317*(1+J319)</f>
        <v>223.59</v>
      </c>
      <c r="K317" s="79">
        <f t="shared" ref="K317" si="375">+J317*(1+K319)</f>
        <v>223.59</v>
      </c>
      <c r="L317" s="79">
        <f t="shared" ref="L317" si="376">+K317*(1+L319)</f>
        <v>223.59</v>
      </c>
      <c r="M317" s="79">
        <f t="shared" ref="M317" si="377">+L317*(1+M319)</f>
        <v>223.59</v>
      </c>
      <c r="N317" s="79">
        <f>+M317*(1+N319)</f>
        <v>223.59</v>
      </c>
      <c r="O317" s="79">
        <f>SUM(C317:N317)</f>
        <v>2683.08</v>
      </c>
    </row>
    <row r="318" spans="2:15" outlineLevel="1" x14ac:dyDescent="0.2">
      <c r="B318" s="722"/>
      <c r="C318" s="32"/>
      <c r="D318" s="32"/>
      <c r="E318" s="32"/>
      <c r="F318" s="32"/>
      <c r="G318" s="32"/>
      <c r="H318" s="32"/>
      <c r="I318" s="32"/>
      <c r="J318" s="32"/>
      <c r="K318" s="32"/>
      <c r="L318" s="32"/>
      <c r="M318" s="32"/>
      <c r="N318" s="32"/>
      <c r="O318" s="79"/>
    </row>
    <row r="319" spans="2:15" outlineLevel="1" x14ac:dyDescent="0.2">
      <c r="B319" s="722" t="s">
        <v>282</v>
      </c>
      <c r="C319" s="80"/>
      <c r="D319" s="275"/>
      <c r="E319" s="275"/>
      <c r="F319" s="275"/>
      <c r="G319" s="275"/>
      <c r="H319" s="275"/>
      <c r="I319" s="275"/>
      <c r="J319" s="275"/>
      <c r="K319" s="275"/>
      <c r="L319" s="275"/>
      <c r="M319" s="275"/>
      <c r="N319" s="275"/>
      <c r="O319" s="186"/>
    </row>
    <row r="320" spans="2:15" outlineLevel="1" x14ac:dyDescent="0.2">
      <c r="B320" s="722" t="s">
        <v>249</v>
      </c>
      <c r="C320" s="186">
        <v>2052</v>
      </c>
      <c r="D320" s="79">
        <f>+C320*(1+D322)</f>
        <v>2052</v>
      </c>
      <c r="E320" s="79">
        <f t="shared" ref="E320" si="378">+D320*(1+E322)</f>
        <v>2052</v>
      </c>
      <c r="F320" s="79">
        <f t="shared" ref="F320" si="379">+E320*(1+F322)</f>
        <v>2052</v>
      </c>
      <c r="G320" s="79">
        <f t="shared" ref="G320" si="380">+F320*(1+G322)</f>
        <v>2052</v>
      </c>
      <c r="H320" s="79">
        <f t="shared" ref="H320" si="381">+G320*(1+H322)</f>
        <v>2052</v>
      </c>
      <c r="I320" s="79">
        <f t="shared" ref="I320" si="382">+H320*(1+I322)</f>
        <v>2052</v>
      </c>
      <c r="J320" s="79">
        <f t="shared" ref="J320" si="383">+I320*(1+J322)</f>
        <v>2052</v>
      </c>
      <c r="K320" s="79">
        <f t="shared" ref="K320" si="384">+J320*(1+K322)</f>
        <v>2052</v>
      </c>
      <c r="L320" s="79">
        <f t="shared" ref="L320" si="385">+K320*(1+L322)</f>
        <v>2052</v>
      </c>
      <c r="M320" s="79">
        <f t="shared" ref="M320" si="386">+L320*(1+M322)</f>
        <v>2052</v>
      </c>
      <c r="N320" s="79">
        <f>+M320*(1+N322)</f>
        <v>2052</v>
      </c>
      <c r="O320" s="79">
        <f>+N320</f>
        <v>2052</v>
      </c>
    </row>
    <row r="321" spans="2:15" outlineLevel="1" x14ac:dyDescent="0.2">
      <c r="B321" s="722"/>
      <c r="C321" s="32"/>
      <c r="D321" s="32"/>
      <c r="E321" s="32"/>
      <c r="F321" s="32"/>
      <c r="G321" s="32"/>
      <c r="H321" s="32"/>
      <c r="I321" s="32"/>
      <c r="J321" s="32"/>
      <c r="K321" s="32"/>
      <c r="L321" s="32"/>
      <c r="M321" s="32"/>
      <c r="N321" s="32"/>
      <c r="O321" s="79"/>
    </row>
    <row r="322" spans="2:15" outlineLevel="1" x14ac:dyDescent="0.2">
      <c r="B322" s="722" t="s">
        <v>282</v>
      </c>
      <c r="C322" s="80"/>
      <c r="D322" s="275">
        <v>0</v>
      </c>
      <c r="E322" s="275">
        <v>0</v>
      </c>
      <c r="F322" s="275">
        <v>0</v>
      </c>
      <c r="G322" s="275">
        <v>0</v>
      </c>
      <c r="H322" s="275">
        <v>0</v>
      </c>
      <c r="I322" s="275">
        <v>0</v>
      </c>
      <c r="J322" s="275">
        <v>0</v>
      </c>
      <c r="K322" s="275">
        <v>0</v>
      </c>
      <c r="L322" s="275">
        <v>0</v>
      </c>
      <c r="M322" s="275">
        <v>0</v>
      </c>
      <c r="N322" s="275">
        <v>0</v>
      </c>
      <c r="O322" s="186"/>
    </row>
    <row r="323" spans="2:15" outlineLevel="1" x14ac:dyDescent="0.2">
      <c r="B323" s="722" t="s">
        <v>1</v>
      </c>
      <c r="C323" s="134">
        <f t="shared" ref="C323:N323" si="387">+C320*C317</f>
        <v>458806.68</v>
      </c>
      <c r="D323" s="134">
        <f t="shared" si="387"/>
        <v>458806.68</v>
      </c>
      <c r="E323" s="134">
        <f t="shared" si="387"/>
        <v>458806.68</v>
      </c>
      <c r="F323" s="134">
        <f t="shared" si="387"/>
        <v>458806.68</v>
      </c>
      <c r="G323" s="134">
        <f t="shared" si="387"/>
        <v>458806.68</v>
      </c>
      <c r="H323" s="134">
        <f t="shared" si="387"/>
        <v>458806.68</v>
      </c>
      <c r="I323" s="134">
        <f t="shared" si="387"/>
        <v>458806.68</v>
      </c>
      <c r="J323" s="134">
        <f t="shared" si="387"/>
        <v>458806.68</v>
      </c>
      <c r="K323" s="134">
        <f t="shared" si="387"/>
        <v>458806.68</v>
      </c>
      <c r="L323" s="134">
        <f t="shared" si="387"/>
        <v>458806.68</v>
      </c>
      <c r="M323" s="134">
        <f t="shared" si="387"/>
        <v>458806.68</v>
      </c>
      <c r="N323" s="134">
        <f t="shared" si="387"/>
        <v>458806.68</v>
      </c>
      <c r="O323" s="134">
        <f>SUM(C323:N323)</f>
        <v>5505680.1600000001</v>
      </c>
    </row>
    <row r="324" spans="2:15" ht="15" x14ac:dyDescent="0.25">
      <c r="B324" s="274" t="s">
        <v>510</v>
      </c>
      <c r="C324" s="81"/>
      <c r="D324" s="81"/>
      <c r="E324" s="81"/>
      <c r="F324" s="81"/>
      <c r="G324" s="81"/>
      <c r="H324" s="81"/>
      <c r="I324" s="81"/>
      <c r="J324" s="81"/>
      <c r="K324" s="81"/>
      <c r="L324" s="81"/>
      <c r="M324" s="81"/>
      <c r="N324" s="81"/>
      <c r="O324" s="81"/>
    </row>
    <row r="325" spans="2:15" outlineLevel="1" x14ac:dyDescent="0.2">
      <c r="B325" s="722" t="s">
        <v>283</v>
      </c>
      <c r="C325" s="186">
        <v>176.16</v>
      </c>
      <c r="D325" s="79">
        <f>+C325*(1+D327)</f>
        <v>176.16</v>
      </c>
      <c r="E325" s="79">
        <f t="shared" ref="E325" si="388">+D325*(1+E327)</f>
        <v>176.16</v>
      </c>
      <c r="F325" s="79">
        <f t="shared" ref="F325" si="389">+E325*(1+F327)</f>
        <v>176.16</v>
      </c>
      <c r="G325" s="79">
        <f t="shared" ref="G325" si="390">+F325*(1+G327)</f>
        <v>176.16</v>
      </c>
      <c r="H325" s="79">
        <f t="shared" ref="H325" si="391">+G325*(1+H327)</f>
        <v>176.16</v>
      </c>
      <c r="I325" s="79">
        <f t="shared" ref="I325" si="392">+H325*(1+I327)</f>
        <v>176.16</v>
      </c>
      <c r="J325" s="79">
        <f t="shared" ref="J325" si="393">+I325*(1+J327)</f>
        <v>176.16</v>
      </c>
      <c r="K325" s="79">
        <f t="shared" ref="K325" si="394">+J325*(1+K327)</f>
        <v>176.16</v>
      </c>
      <c r="L325" s="79">
        <f t="shared" ref="L325" si="395">+K325*(1+L327)</f>
        <v>176.16</v>
      </c>
      <c r="M325" s="79">
        <f t="shared" ref="M325" si="396">+L325*(1+M327)</f>
        <v>176.16</v>
      </c>
      <c r="N325" s="79">
        <f>+M325*(1+N327)</f>
        <v>176.16</v>
      </c>
      <c r="O325" s="79">
        <f>SUM(C325:N325)</f>
        <v>2113.9200000000005</v>
      </c>
    </row>
    <row r="326" spans="2:15" outlineLevel="1" x14ac:dyDescent="0.2">
      <c r="B326" s="722"/>
      <c r="C326" s="32"/>
      <c r="D326" s="32"/>
      <c r="E326" s="32"/>
      <c r="F326" s="32"/>
      <c r="G326" s="32"/>
      <c r="H326" s="32"/>
      <c r="I326" s="32"/>
      <c r="J326" s="32"/>
      <c r="K326" s="32"/>
      <c r="L326" s="32"/>
      <c r="M326" s="32"/>
      <c r="N326" s="32"/>
      <c r="O326" s="79"/>
    </row>
    <row r="327" spans="2:15" outlineLevel="1" x14ac:dyDescent="0.2">
      <c r="B327" s="722" t="s">
        <v>282</v>
      </c>
      <c r="C327" s="80"/>
      <c r="D327" s="275"/>
      <c r="E327" s="275"/>
      <c r="F327" s="275"/>
      <c r="G327" s="275"/>
      <c r="H327" s="275"/>
      <c r="I327" s="275"/>
      <c r="J327" s="275"/>
      <c r="K327" s="275"/>
      <c r="L327" s="275"/>
      <c r="M327" s="275"/>
      <c r="N327" s="275"/>
      <c r="O327" s="186"/>
    </row>
    <row r="328" spans="2:15" outlineLevel="1" x14ac:dyDescent="0.2">
      <c r="B328" s="722" t="s">
        <v>249</v>
      </c>
      <c r="C328" s="186">
        <v>2223.34</v>
      </c>
      <c r="D328" s="79">
        <f>+C328*(1+D330)</f>
        <v>2223.34</v>
      </c>
      <c r="E328" s="79">
        <f t="shared" ref="E328" si="397">+D328*(1+E330)</f>
        <v>2223.34</v>
      </c>
      <c r="F328" s="79">
        <f t="shared" ref="F328" si="398">+E328*(1+F330)</f>
        <v>2223.34</v>
      </c>
      <c r="G328" s="79">
        <f t="shared" ref="G328" si="399">+F328*(1+G330)</f>
        <v>2223.34</v>
      </c>
      <c r="H328" s="79">
        <f t="shared" ref="H328" si="400">+G328*(1+H330)</f>
        <v>2223.34</v>
      </c>
      <c r="I328" s="79">
        <f t="shared" ref="I328" si="401">+H328*(1+I330)</f>
        <v>2223.34</v>
      </c>
      <c r="J328" s="79">
        <f t="shared" ref="J328" si="402">+I328*(1+J330)</f>
        <v>2223.34</v>
      </c>
      <c r="K328" s="79">
        <f t="shared" ref="K328" si="403">+J328*(1+K330)</f>
        <v>2223.34</v>
      </c>
      <c r="L328" s="79">
        <f t="shared" ref="L328" si="404">+K328*(1+L330)</f>
        <v>2223.34</v>
      </c>
      <c r="M328" s="79">
        <f t="shared" ref="M328" si="405">+L328*(1+M330)</f>
        <v>2223.34</v>
      </c>
      <c r="N328" s="79">
        <f>+M328*(1+N330)</f>
        <v>2223.34</v>
      </c>
      <c r="O328" s="79">
        <f>+N328</f>
        <v>2223.34</v>
      </c>
    </row>
    <row r="329" spans="2:15" outlineLevel="1" x14ac:dyDescent="0.2">
      <c r="B329" s="722"/>
      <c r="C329" s="32"/>
      <c r="D329" s="32"/>
      <c r="E329" s="32"/>
      <c r="F329" s="32"/>
      <c r="G329" s="32"/>
      <c r="H329" s="32"/>
      <c r="I329" s="32"/>
      <c r="J329" s="32"/>
      <c r="K329" s="32"/>
      <c r="L329" s="32"/>
      <c r="M329" s="32"/>
      <c r="N329" s="32"/>
      <c r="O329" s="79"/>
    </row>
    <row r="330" spans="2:15" outlineLevel="1" x14ac:dyDescent="0.2">
      <c r="B330" s="722" t="s">
        <v>282</v>
      </c>
      <c r="C330" s="80"/>
      <c r="D330" s="275">
        <v>0</v>
      </c>
      <c r="E330" s="275">
        <v>0</v>
      </c>
      <c r="F330" s="275">
        <v>0</v>
      </c>
      <c r="G330" s="275">
        <v>0</v>
      </c>
      <c r="H330" s="275">
        <v>0</v>
      </c>
      <c r="I330" s="275">
        <v>0</v>
      </c>
      <c r="J330" s="275">
        <v>0</v>
      </c>
      <c r="K330" s="275">
        <v>0</v>
      </c>
      <c r="L330" s="275">
        <v>0</v>
      </c>
      <c r="M330" s="275">
        <v>0</v>
      </c>
      <c r="N330" s="275">
        <v>0</v>
      </c>
      <c r="O330" s="186"/>
    </row>
    <row r="331" spans="2:15" outlineLevel="1" x14ac:dyDescent="0.2">
      <c r="B331" s="722" t="s">
        <v>1</v>
      </c>
      <c r="C331" s="134">
        <f t="shared" ref="C331:N331" si="406">+C328*C325</f>
        <v>391663.57440000004</v>
      </c>
      <c r="D331" s="134">
        <f t="shared" si="406"/>
        <v>391663.57440000004</v>
      </c>
      <c r="E331" s="134">
        <f t="shared" si="406"/>
        <v>391663.57440000004</v>
      </c>
      <c r="F331" s="134">
        <f t="shared" si="406"/>
        <v>391663.57440000004</v>
      </c>
      <c r="G331" s="134">
        <f t="shared" si="406"/>
        <v>391663.57440000004</v>
      </c>
      <c r="H331" s="134">
        <f t="shared" si="406"/>
        <v>391663.57440000004</v>
      </c>
      <c r="I331" s="134">
        <f t="shared" si="406"/>
        <v>391663.57440000004</v>
      </c>
      <c r="J331" s="134">
        <f t="shared" si="406"/>
        <v>391663.57440000004</v>
      </c>
      <c r="K331" s="134">
        <f t="shared" si="406"/>
        <v>391663.57440000004</v>
      </c>
      <c r="L331" s="134">
        <f t="shared" si="406"/>
        <v>391663.57440000004</v>
      </c>
      <c r="M331" s="134">
        <f t="shared" si="406"/>
        <v>391663.57440000004</v>
      </c>
      <c r="N331" s="134">
        <f t="shared" si="406"/>
        <v>391663.57440000004</v>
      </c>
      <c r="O331" s="134">
        <f>SUM(C331:N331)</f>
        <v>4699962.8928000014</v>
      </c>
    </row>
    <row r="332" spans="2:15" ht="15" x14ac:dyDescent="0.25">
      <c r="B332" s="274" t="s">
        <v>511</v>
      </c>
      <c r="C332" s="81"/>
      <c r="D332" s="81"/>
      <c r="E332" s="81"/>
      <c r="F332" s="81"/>
      <c r="G332" s="81"/>
      <c r="H332" s="81"/>
      <c r="I332" s="81"/>
      <c r="J332" s="81"/>
      <c r="K332" s="81"/>
      <c r="L332" s="81"/>
      <c r="M332" s="81"/>
      <c r="N332" s="81"/>
      <c r="O332" s="81"/>
    </row>
    <row r="333" spans="2:15" outlineLevel="1" x14ac:dyDescent="0.2">
      <c r="B333" s="722" t="s">
        <v>283</v>
      </c>
      <c r="C333" s="186">
        <v>71.14</v>
      </c>
      <c r="D333" s="79">
        <f>+C333*(1+D335)</f>
        <v>71.14</v>
      </c>
      <c r="E333" s="79">
        <f t="shared" ref="E333" si="407">+D333*(1+E335)</f>
        <v>71.14</v>
      </c>
      <c r="F333" s="79">
        <f t="shared" ref="F333" si="408">+E333*(1+F335)</f>
        <v>71.14</v>
      </c>
      <c r="G333" s="79">
        <f t="shared" ref="G333" si="409">+F333*(1+G335)</f>
        <v>71.14</v>
      </c>
      <c r="H333" s="79">
        <f t="shared" ref="H333" si="410">+G333*(1+H335)</f>
        <v>71.14</v>
      </c>
      <c r="I333" s="79">
        <f t="shared" ref="I333" si="411">+H333*(1+I335)</f>
        <v>71.14</v>
      </c>
      <c r="J333" s="79">
        <f t="shared" ref="J333" si="412">+I333*(1+J335)</f>
        <v>71.14</v>
      </c>
      <c r="K333" s="79">
        <f t="shared" ref="K333" si="413">+J333*(1+K335)</f>
        <v>71.14</v>
      </c>
      <c r="L333" s="79">
        <f t="shared" ref="L333" si="414">+K333*(1+L335)</f>
        <v>71.14</v>
      </c>
      <c r="M333" s="79">
        <f t="shared" ref="M333" si="415">+L333*(1+M335)</f>
        <v>71.14</v>
      </c>
      <c r="N333" s="79">
        <f>+M333*(1+N335)</f>
        <v>71.14</v>
      </c>
      <c r="O333" s="79">
        <f>SUM(C333:N333)</f>
        <v>853.68</v>
      </c>
    </row>
    <row r="334" spans="2:15" outlineLevel="1" x14ac:dyDescent="0.2">
      <c r="B334" s="722"/>
      <c r="C334" s="32"/>
      <c r="D334" s="32"/>
      <c r="E334" s="32"/>
      <c r="F334" s="32"/>
      <c r="G334" s="32"/>
      <c r="H334" s="32"/>
      <c r="I334" s="32"/>
      <c r="J334" s="32"/>
      <c r="K334" s="32"/>
      <c r="L334" s="32"/>
      <c r="M334" s="32"/>
      <c r="N334" s="32"/>
      <c r="O334" s="79"/>
    </row>
    <row r="335" spans="2:15" outlineLevel="1" x14ac:dyDescent="0.2">
      <c r="B335" s="722" t="s">
        <v>282</v>
      </c>
      <c r="C335" s="80"/>
      <c r="D335" s="275"/>
      <c r="E335" s="275"/>
      <c r="F335" s="275"/>
      <c r="G335" s="275"/>
      <c r="H335" s="275"/>
      <c r="I335" s="275"/>
      <c r="J335" s="275"/>
      <c r="K335" s="275"/>
      <c r="L335" s="275"/>
      <c r="M335" s="275"/>
      <c r="N335" s="275"/>
      <c r="O335" s="186"/>
    </row>
    <row r="336" spans="2:15" outlineLevel="1" x14ac:dyDescent="0.2">
      <c r="B336" s="722" t="s">
        <v>249</v>
      </c>
      <c r="C336" s="186">
        <v>2872.8</v>
      </c>
      <c r="D336" s="79">
        <f>+C336*(1+D338)</f>
        <v>2872.8</v>
      </c>
      <c r="E336" s="79">
        <f t="shared" ref="E336" si="416">+D336*(1+E338)</f>
        <v>2872.8</v>
      </c>
      <c r="F336" s="79">
        <f t="shared" ref="F336" si="417">+E336*(1+F338)</f>
        <v>2872.8</v>
      </c>
      <c r="G336" s="79">
        <f t="shared" ref="G336" si="418">+F336*(1+G338)</f>
        <v>2872.8</v>
      </c>
      <c r="H336" s="79">
        <f t="shared" ref="H336" si="419">+G336*(1+H338)</f>
        <v>2872.8</v>
      </c>
      <c r="I336" s="79">
        <f t="shared" ref="I336" si="420">+H336*(1+I338)</f>
        <v>2872.8</v>
      </c>
      <c r="J336" s="79">
        <f t="shared" ref="J336" si="421">+I336*(1+J338)</f>
        <v>2872.8</v>
      </c>
      <c r="K336" s="79">
        <f t="shared" ref="K336" si="422">+J336*(1+K338)</f>
        <v>2872.8</v>
      </c>
      <c r="L336" s="79">
        <f t="shared" ref="L336" si="423">+K336*(1+L338)</f>
        <v>2872.8</v>
      </c>
      <c r="M336" s="79">
        <f t="shared" ref="M336" si="424">+L336*(1+M338)</f>
        <v>2872.8</v>
      </c>
      <c r="N336" s="79">
        <f>+M336*(1+N338)</f>
        <v>2872.8</v>
      </c>
      <c r="O336" s="79">
        <f>+N336</f>
        <v>2872.8</v>
      </c>
    </row>
    <row r="337" spans="2:15" outlineLevel="1" x14ac:dyDescent="0.2">
      <c r="B337" s="722"/>
      <c r="C337" s="32"/>
      <c r="D337" s="32"/>
      <c r="E337" s="32"/>
      <c r="F337" s="32"/>
      <c r="G337" s="32"/>
      <c r="H337" s="32"/>
      <c r="I337" s="32"/>
      <c r="J337" s="32"/>
      <c r="K337" s="32"/>
      <c r="L337" s="32"/>
      <c r="M337" s="32"/>
      <c r="N337" s="32"/>
      <c r="O337" s="79"/>
    </row>
    <row r="338" spans="2:15" outlineLevel="1" x14ac:dyDescent="0.2">
      <c r="B338" s="722" t="s">
        <v>282</v>
      </c>
      <c r="C338" s="80"/>
      <c r="D338" s="275">
        <v>0</v>
      </c>
      <c r="E338" s="275">
        <v>0</v>
      </c>
      <c r="F338" s="275">
        <v>0</v>
      </c>
      <c r="G338" s="275">
        <v>0</v>
      </c>
      <c r="H338" s="275">
        <v>0</v>
      </c>
      <c r="I338" s="275">
        <v>0</v>
      </c>
      <c r="J338" s="275">
        <v>0</v>
      </c>
      <c r="K338" s="275">
        <v>0</v>
      </c>
      <c r="L338" s="275">
        <v>0</v>
      </c>
      <c r="M338" s="275">
        <v>0</v>
      </c>
      <c r="N338" s="275">
        <v>0</v>
      </c>
      <c r="O338" s="186"/>
    </row>
    <row r="339" spans="2:15" outlineLevel="1" x14ac:dyDescent="0.2">
      <c r="B339" s="722" t="s">
        <v>1</v>
      </c>
      <c r="C339" s="134">
        <f t="shared" ref="C339:N339" si="425">+C336*C333</f>
        <v>204370.99200000003</v>
      </c>
      <c r="D339" s="134">
        <f t="shared" si="425"/>
        <v>204370.99200000003</v>
      </c>
      <c r="E339" s="134">
        <f t="shared" si="425"/>
        <v>204370.99200000003</v>
      </c>
      <c r="F339" s="134">
        <f t="shared" si="425"/>
        <v>204370.99200000003</v>
      </c>
      <c r="G339" s="134">
        <f t="shared" si="425"/>
        <v>204370.99200000003</v>
      </c>
      <c r="H339" s="134">
        <f t="shared" si="425"/>
        <v>204370.99200000003</v>
      </c>
      <c r="I339" s="134">
        <f t="shared" si="425"/>
        <v>204370.99200000003</v>
      </c>
      <c r="J339" s="134">
        <f t="shared" si="425"/>
        <v>204370.99200000003</v>
      </c>
      <c r="K339" s="134">
        <f t="shared" si="425"/>
        <v>204370.99200000003</v>
      </c>
      <c r="L339" s="134">
        <f t="shared" si="425"/>
        <v>204370.99200000003</v>
      </c>
      <c r="M339" s="134">
        <f t="shared" si="425"/>
        <v>204370.99200000003</v>
      </c>
      <c r="N339" s="134">
        <f t="shared" si="425"/>
        <v>204370.99200000003</v>
      </c>
      <c r="O339" s="134">
        <f>SUM(C339:N339)</f>
        <v>2452451.9040000006</v>
      </c>
    </row>
    <row r="340" spans="2:15" ht="15" x14ac:dyDescent="0.25">
      <c r="B340" s="274" t="s">
        <v>512</v>
      </c>
      <c r="C340" s="81"/>
      <c r="D340" s="81"/>
      <c r="E340" s="81"/>
      <c r="F340" s="81"/>
      <c r="G340" s="81"/>
      <c r="H340" s="81"/>
      <c r="I340" s="81"/>
      <c r="J340" s="81"/>
      <c r="K340" s="81"/>
      <c r="L340" s="81"/>
      <c r="M340" s="81"/>
      <c r="N340" s="81"/>
      <c r="O340" s="81"/>
    </row>
    <row r="341" spans="2:15" outlineLevel="1" x14ac:dyDescent="0.2">
      <c r="B341" s="722" t="s">
        <v>283</v>
      </c>
      <c r="C341" s="186">
        <v>111.8</v>
      </c>
      <c r="D341" s="79">
        <f>+C341*(1+D343)</f>
        <v>111.8</v>
      </c>
      <c r="E341" s="79">
        <f t="shared" ref="E341" si="426">+D341*(1+E343)</f>
        <v>111.8</v>
      </c>
      <c r="F341" s="79">
        <f t="shared" ref="F341" si="427">+E341*(1+F343)</f>
        <v>111.8</v>
      </c>
      <c r="G341" s="79">
        <f t="shared" ref="G341" si="428">+F341*(1+G343)</f>
        <v>111.8</v>
      </c>
      <c r="H341" s="79">
        <f t="shared" ref="H341" si="429">+G341*(1+H343)</f>
        <v>111.8</v>
      </c>
      <c r="I341" s="79">
        <f t="shared" ref="I341" si="430">+H341*(1+I343)</f>
        <v>111.8</v>
      </c>
      <c r="J341" s="79">
        <f t="shared" ref="J341" si="431">+I341*(1+J343)</f>
        <v>111.8</v>
      </c>
      <c r="K341" s="79">
        <f t="shared" ref="K341" si="432">+J341*(1+K343)</f>
        <v>111.8</v>
      </c>
      <c r="L341" s="79">
        <f t="shared" ref="L341" si="433">+K341*(1+L343)</f>
        <v>111.8</v>
      </c>
      <c r="M341" s="79">
        <f t="shared" ref="M341" si="434">+L341*(1+M343)</f>
        <v>111.8</v>
      </c>
      <c r="N341" s="79">
        <f>+M341*(1+N343)</f>
        <v>111.8</v>
      </c>
      <c r="O341" s="79">
        <f>SUM(C341:N341)</f>
        <v>1341.5999999999997</v>
      </c>
    </row>
    <row r="342" spans="2:15" outlineLevel="1" x14ac:dyDescent="0.2">
      <c r="B342" s="722"/>
      <c r="C342" s="32"/>
      <c r="D342" s="32"/>
      <c r="E342" s="32"/>
      <c r="F342" s="32"/>
      <c r="G342" s="32"/>
      <c r="H342" s="32"/>
      <c r="I342" s="32"/>
      <c r="J342" s="32"/>
      <c r="K342" s="32"/>
      <c r="L342" s="32"/>
      <c r="M342" s="32"/>
      <c r="N342" s="32"/>
      <c r="O342" s="79"/>
    </row>
    <row r="343" spans="2:15" outlineLevel="1" x14ac:dyDescent="0.2">
      <c r="B343" s="722" t="s">
        <v>282</v>
      </c>
      <c r="C343" s="80"/>
      <c r="D343" s="275"/>
      <c r="E343" s="275"/>
      <c r="F343" s="275"/>
      <c r="G343" s="275"/>
      <c r="H343" s="275"/>
      <c r="I343" s="275"/>
      <c r="J343" s="275"/>
      <c r="K343" s="275"/>
      <c r="L343" s="275"/>
      <c r="M343" s="275"/>
      <c r="N343" s="275"/>
      <c r="O343" s="186"/>
    </row>
    <row r="344" spans="2:15" outlineLevel="1" x14ac:dyDescent="0.2">
      <c r="B344" s="722" t="s">
        <v>249</v>
      </c>
      <c r="C344" s="186">
        <v>1846.8</v>
      </c>
      <c r="D344" s="79">
        <f>+C344*(1+D346)</f>
        <v>1846.8</v>
      </c>
      <c r="E344" s="79">
        <f t="shared" ref="E344" si="435">+D344*(1+E346)</f>
        <v>1846.8</v>
      </c>
      <c r="F344" s="79">
        <f t="shared" ref="F344" si="436">+E344*(1+F346)</f>
        <v>1846.8</v>
      </c>
      <c r="G344" s="79">
        <f t="shared" ref="G344" si="437">+F344*(1+G346)</f>
        <v>1846.8</v>
      </c>
      <c r="H344" s="79">
        <f t="shared" ref="H344" si="438">+G344*(1+H346)</f>
        <v>1846.8</v>
      </c>
      <c r="I344" s="79">
        <f t="shared" ref="I344" si="439">+H344*(1+I346)</f>
        <v>1846.8</v>
      </c>
      <c r="J344" s="79">
        <f t="shared" ref="J344" si="440">+I344*(1+J346)</f>
        <v>1846.8</v>
      </c>
      <c r="K344" s="79">
        <f t="shared" ref="K344" si="441">+J344*(1+K346)</f>
        <v>1846.8</v>
      </c>
      <c r="L344" s="79">
        <f t="shared" ref="L344" si="442">+K344*(1+L346)</f>
        <v>1846.8</v>
      </c>
      <c r="M344" s="79">
        <f t="shared" ref="M344" si="443">+L344*(1+M346)</f>
        <v>1846.8</v>
      </c>
      <c r="N344" s="79">
        <f>+M344*(1+N346)</f>
        <v>1846.8</v>
      </c>
      <c r="O344" s="79">
        <f>+N344</f>
        <v>1846.8</v>
      </c>
    </row>
    <row r="345" spans="2:15" outlineLevel="1" x14ac:dyDescent="0.2">
      <c r="B345" s="722"/>
      <c r="C345" s="32"/>
      <c r="D345" s="32"/>
      <c r="E345" s="32"/>
      <c r="F345" s="32"/>
      <c r="G345" s="32"/>
      <c r="H345" s="32"/>
      <c r="I345" s="32"/>
      <c r="J345" s="32"/>
      <c r="K345" s="32"/>
      <c r="L345" s="32"/>
      <c r="M345" s="32"/>
      <c r="N345" s="32"/>
      <c r="O345" s="79"/>
    </row>
    <row r="346" spans="2:15" outlineLevel="1" x14ac:dyDescent="0.2">
      <c r="B346" s="722" t="s">
        <v>282</v>
      </c>
      <c r="C346" s="80"/>
      <c r="D346" s="275">
        <v>0</v>
      </c>
      <c r="E346" s="275">
        <v>0</v>
      </c>
      <c r="F346" s="275">
        <v>0</v>
      </c>
      <c r="G346" s="275">
        <v>0</v>
      </c>
      <c r="H346" s="275">
        <v>0</v>
      </c>
      <c r="I346" s="275">
        <v>0</v>
      </c>
      <c r="J346" s="275">
        <v>0</v>
      </c>
      <c r="K346" s="275">
        <v>0</v>
      </c>
      <c r="L346" s="275">
        <v>0</v>
      </c>
      <c r="M346" s="275">
        <v>0</v>
      </c>
      <c r="N346" s="275">
        <v>0</v>
      </c>
      <c r="O346" s="186"/>
    </row>
    <row r="347" spans="2:15" outlineLevel="1" x14ac:dyDescent="0.2">
      <c r="B347" s="722" t="s">
        <v>1</v>
      </c>
      <c r="C347" s="134">
        <f t="shared" ref="C347:N347" si="444">+C344*C341</f>
        <v>206472.24</v>
      </c>
      <c r="D347" s="134">
        <f t="shared" si="444"/>
        <v>206472.24</v>
      </c>
      <c r="E347" s="134">
        <f t="shared" si="444"/>
        <v>206472.24</v>
      </c>
      <c r="F347" s="134">
        <f t="shared" si="444"/>
        <v>206472.24</v>
      </c>
      <c r="G347" s="134">
        <f t="shared" si="444"/>
        <v>206472.24</v>
      </c>
      <c r="H347" s="134">
        <f t="shared" si="444"/>
        <v>206472.24</v>
      </c>
      <c r="I347" s="134">
        <f t="shared" si="444"/>
        <v>206472.24</v>
      </c>
      <c r="J347" s="134">
        <f t="shared" si="444"/>
        <v>206472.24</v>
      </c>
      <c r="K347" s="134">
        <f t="shared" si="444"/>
        <v>206472.24</v>
      </c>
      <c r="L347" s="134">
        <f t="shared" si="444"/>
        <v>206472.24</v>
      </c>
      <c r="M347" s="134">
        <f t="shared" si="444"/>
        <v>206472.24</v>
      </c>
      <c r="N347" s="134">
        <f t="shared" si="444"/>
        <v>206472.24</v>
      </c>
      <c r="O347" s="134">
        <f>SUM(C347:N347)</f>
        <v>2477666.88</v>
      </c>
    </row>
    <row r="348" spans="2:15" ht="15" x14ac:dyDescent="0.25">
      <c r="B348" s="274" t="s">
        <v>513</v>
      </c>
      <c r="C348" s="81"/>
      <c r="D348" s="81"/>
      <c r="E348" s="81"/>
      <c r="F348" s="81"/>
      <c r="G348" s="81"/>
      <c r="H348" s="81"/>
      <c r="I348" s="81"/>
      <c r="J348" s="81"/>
      <c r="K348" s="81"/>
      <c r="L348" s="81"/>
      <c r="M348" s="81"/>
      <c r="N348" s="81"/>
      <c r="O348" s="81"/>
    </row>
    <row r="349" spans="2:15" outlineLevel="1" x14ac:dyDescent="0.2">
      <c r="B349" s="722" t="s">
        <v>283</v>
      </c>
      <c r="C349" s="186">
        <v>329.1</v>
      </c>
      <c r="D349" s="79">
        <f>+C349*(1+D351)</f>
        <v>329.1</v>
      </c>
      <c r="E349" s="79">
        <f t="shared" ref="E349" si="445">+D349*(1+E351)</f>
        <v>329.1</v>
      </c>
      <c r="F349" s="79">
        <f t="shared" ref="F349" si="446">+E349*(1+F351)</f>
        <v>329.1</v>
      </c>
      <c r="G349" s="79">
        <f t="shared" ref="G349" si="447">+F349*(1+G351)</f>
        <v>329.1</v>
      </c>
      <c r="H349" s="79">
        <f t="shared" ref="H349" si="448">+G349*(1+H351)</f>
        <v>329.1</v>
      </c>
      <c r="I349" s="79">
        <f t="shared" ref="I349" si="449">+H349*(1+I351)</f>
        <v>329.1</v>
      </c>
      <c r="J349" s="79">
        <f t="shared" ref="J349" si="450">+I349*(1+J351)</f>
        <v>329.1</v>
      </c>
      <c r="K349" s="79">
        <f t="shared" ref="K349" si="451">+J349*(1+K351)</f>
        <v>329.1</v>
      </c>
      <c r="L349" s="79">
        <f t="shared" ref="L349" si="452">+K349*(1+L351)</f>
        <v>329.1</v>
      </c>
      <c r="M349" s="79">
        <f t="shared" ref="M349" si="453">+L349*(1+M351)</f>
        <v>329.1</v>
      </c>
      <c r="N349" s="79">
        <f>+M349*(1+N351)</f>
        <v>329.1</v>
      </c>
      <c r="O349" s="79">
        <f>SUM(C349:N349)</f>
        <v>3949.1999999999994</v>
      </c>
    </row>
    <row r="350" spans="2:15" outlineLevel="1" x14ac:dyDescent="0.2">
      <c r="B350" s="722"/>
      <c r="C350" s="32"/>
      <c r="D350" s="32"/>
      <c r="E350" s="32"/>
      <c r="F350" s="32"/>
      <c r="G350" s="32"/>
      <c r="H350" s="32"/>
      <c r="I350" s="32"/>
      <c r="J350" s="32"/>
      <c r="K350" s="32"/>
      <c r="L350" s="32"/>
      <c r="M350" s="32"/>
      <c r="N350" s="32"/>
      <c r="O350" s="79"/>
    </row>
    <row r="351" spans="2:15" outlineLevel="1" x14ac:dyDescent="0.2">
      <c r="B351" s="722" t="s">
        <v>282</v>
      </c>
      <c r="C351" s="80"/>
      <c r="D351" s="275"/>
      <c r="E351" s="275"/>
      <c r="F351" s="275"/>
      <c r="G351" s="275"/>
      <c r="H351" s="275"/>
      <c r="I351" s="275"/>
      <c r="J351" s="275"/>
      <c r="K351" s="275"/>
      <c r="L351" s="275"/>
      <c r="M351" s="275"/>
      <c r="N351" s="275"/>
      <c r="O351" s="186"/>
    </row>
    <row r="352" spans="2:15" outlineLevel="1" x14ac:dyDescent="0.2">
      <c r="B352" s="722" t="s">
        <v>249</v>
      </c>
      <c r="C352" s="186">
        <v>1641.6</v>
      </c>
      <c r="D352" s="79">
        <f>+C352*(1+D354)</f>
        <v>1641.6</v>
      </c>
      <c r="E352" s="79">
        <f t="shared" ref="E352" si="454">+D352*(1+E354)</f>
        <v>1641.6</v>
      </c>
      <c r="F352" s="79">
        <f t="shared" ref="F352" si="455">+E352*(1+F354)</f>
        <v>1641.6</v>
      </c>
      <c r="G352" s="79">
        <f t="shared" ref="G352" si="456">+F352*(1+G354)</f>
        <v>1641.6</v>
      </c>
      <c r="H352" s="79">
        <f t="shared" ref="H352" si="457">+G352*(1+H354)</f>
        <v>1641.6</v>
      </c>
      <c r="I352" s="79">
        <f t="shared" ref="I352" si="458">+H352*(1+I354)</f>
        <v>1641.6</v>
      </c>
      <c r="J352" s="79">
        <f t="shared" ref="J352" si="459">+I352*(1+J354)</f>
        <v>1641.6</v>
      </c>
      <c r="K352" s="79">
        <f t="shared" ref="K352" si="460">+J352*(1+K354)</f>
        <v>1641.6</v>
      </c>
      <c r="L352" s="79">
        <f t="shared" ref="L352" si="461">+K352*(1+L354)</f>
        <v>1641.6</v>
      </c>
      <c r="M352" s="79">
        <f t="shared" ref="M352" si="462">+L352*(1+M354)</f>
        <v>1641.6</v>
      </c>
      <c r="N352" s="79">
        <f>+M352*(1+N354)</f>
        <v>1641.6</v>
      </c>
      <c r="O352" s="79">
        <f>+N352</f>
        <v>1641.6</v>
      </c>
    </row>
    <row r="353" spans="2:15" outlineLevel="1" x14ac:dyDescent="0.2">
      <c r="B353" s="722"/>
      <c r="C353" s="32"/>
      <c r="D353" s="32"/>
      <c r="E353" s="32"/>
      <c r="F353" s="32"/>
      <c r="G353" s="32"/>
      <c r="H353" s="32"/>
      <c r="I353" s="32"/>
      <c r="J353" s="32"/>
      <c r="K353" s="32"/>
      <c r="L353" s="32"/>
      <c r="M353" s="32"/>
      <c r="N353" s="32"/>
      <c r="O353" s="79"/>
    </row>
    <row r="354" spans="2:15" outlineLevel="1" x14ac:dyDescent="0.2">
      <c r="B354" s="722" t="s">
        <v>282</v>
      </c>
      <c r="C354" s="80"/>
      <c r="D354" s="275">
        <v>0</v>
      </c>
      <c r="E354" s="275">
        <v>0</v>
      </c>
      <c r="F354" s="275">
        <v>0</v>
      </c>
      <c r="G354" s="275">
        <v>0</v>
      </c>
      <c r="H354" s="275">
        <v>0</v>
      </c>
      <c r="I354" s="275">
        <v>0</v>
      </c>
      <c r="J354" s="275">
        <v>0</v>
      </c>
      <c r="K354" s="275">
        <v>0</v>
      </c>
      <c r="L354" s="275">
        <v>0</v>
      </c>
      <c r="M354" s="275">
        <v>0</v>
      </c>
      <c r="N354" s="275">
        <v>0</v>
      </c>
      <c r="O354" s="186"/>
    </row>
    <row r="355" spans="2:15" outlineLevel="1" x14ac:dyDescent="0.2">
      <c r="B355" s="722" t="s">
        <v>1</v>
      </c>
      <c r="C355" s="134">
        <f t="shared" ref="C355:N355" si="463">+C352*C349</f>
        <v>540250.56000000006</v>
      </c>
      <c r="D355" s="134">
        <f t="shared" si="463"/>
        <v>540250.56000000006</v>
      </c>
      <c r="E355" s="134">
        <f t="shared" si="463"/>
        <v>540250.56000000006</v>
      </c>
      <c r="F355" s="134">
        <f t="shared" si="463"/>
        <v>540250.56000000006</v>
      </c>
      <c r="G355" s="134">
        <f t="shared" si="463"/>
        <v>540250.56000000006</v>
      </c>
      <c r="H355" s="134">
        <f t="shared" si="463"/>
        <v>540250.56000000006</v>
      </c>
      <c r="I355" s="134">
        <f t="shared" si="463"/>
        <v>540250.56000000006</v>
      </c>
      <c r="J355" s="134">
        <f t="shared" si="463"/>
        <v>540250.56000000006</v>
      </c>
      <c r="K355" s="134">
        <f t="shared" si="463"/>
        <v>540250.56000000006</v>
      </c>
      <c r="L355" s="134">
        <f t="shared" si="463"/>
        <v>540250.56000000006</v>
      </c>
      <c r="M355" s="134">
        <f t="shared" si="463"/>
        <v>540250.56000000006</v>
      </c>
      <c r="N355" s="134">
        <f t="shared" si="463"/>
        <v>540250.56000000006</v>
      </c>
      <c r="O355" s="134">
        <f>SUM(C355:N355)</f>
        <v>6483006.7200000025</v>
      </c>
    </row>
    <row r="356" spans="2:15" ht="15" x14ac:dyDescent="0.25">
      <c r="B356" s="274" t="s">
        <v>514</v>
      </c>
      <c r="C356" s="81"/>
      <c r="D356" s="81"/>
      <c r="E356" s="81"/>
      <c r="F356" s="81"/>
      <c r="G356" s="81"/>
      <c r="H356" s="81"/>
      <c r="I356" s="81"/>
      <c r="J356" s="81"/>
      <c r="K356" s="81"/>
      <c r="L356" s="81"/>
      <c r="M356" s="81"/>
      <c r="N356" s="81"/>
      <c r="O356" s="81"/>
    </row>
    <row r="357" spans="2:15" outlineLevel="1" x14ac:dyDescent="0.2">
      <c r="B357" s="722" t="s">
        <v>283</v>
      </c>
      <c r="C357" s="186">
        <v>30.49</v>
      </c>
      <c r="D357" s="79">
        <f>+C357*(1+D359)</f>
        <v>30.49</v>
      </c>
      <c r="E357" s="79">
        <f t="shared" ref="E357" si="464">+D357*(1+E359)</f>
        <v>30.49</v>
      </c>
      <c r="F357" s="79">
        <f t="shared" ref="F357" si="465">+E357*(1+F359)</f>
        <v>30.49</v>
      </c>
      <c r="G357" s="79">
        <f t="shared" ref="G357" si="466">+F357*(1+G359)</f>
        <v>30.49</v>
      </c>
      <c r="H357" s="79">
        <f t="shared" ref="H357" si="467">+G357*(1+H359)</f>
        <v>30.49</v>
      </c>
      <c r="I357" s="79">
        <f t="shared" ref="I357" si="468">+H357*(1+I359)</f>
        <v>30.49</v>
      </c>
      <c r="J357" s="79">
        <f t="shared" ref="J357" si="469">+I357*(1+J359)</f>
        <v>30.49</v>
      </c>
      <c r="K357" s="79">
        <f t="shared" ref="K357" si="470">+J357*(1+K359)</f>
        <v>30.49</v>
      </c>
      <c r="L357" s="79">
        <f t="shared" ref="L357" si="471">+K357*(1+L359)</f>
        <v>30.49</v>
      </c>
      <c r="M357" s="79">
        <f t="shared" ref="M357" si="472">+L357*(1+M359)</f>
        <v>30.49</v>
      </c>
      <c r="N357" s="79">
        <f>+M357*(1+N359)</f>
        <v>30.49</v>
      </c>
      <c r="O357" s="79">
        <f>SUM(C357:N357)</f>
        <v>365.88000000000005</v>
      </c>
    </row>
    <row r="358" spans="2:15" outlineLevel="1" x14ac:dyDescent="0.2">
      <c r="B358" s="722"/>
      <c r="C358" s="32"/>
      <c r="D358" s="32"/>
      <c r="E358" s="32"/>
      <c r="F358" s="32"/>
      <c r="G358" s="32"/>
      <c r="H358" s="32"/>
      <c r="I358" s="32"/>
      <c r="J358" s="32"/>
      <c r="K358" s="32"/>
      <c r="L358" s="32"/>
      <c r="M358" s="32"/>
      <c r="N358" s="32"/>
      <c r="O358" s="79"/>
    </row>
    <row r="359" spans="2:15" outlineLevel="1" x14ac:dyDescent="0.2">
      <c r="B359" s="722" t="s">
        <v>282</v>
      </c>
      <c r="C359" s="80"/>
      <c r="D359" s="275"/>
      <c r="E359" s="275"/>
      <c r="F359" s="275"/>
      <c r="G359" s="275"/>
      <c r="H359" s="275"/>
      <c r="I359" s="275"/>
      <c r="J359" s="275"/>
      <c r="K359" s="275"/>
      <c r="L359" s="275"/>
      <c r="M359" s="275"/>
      <c r="N359" s="275"/>
      <c r="O359" s="186"/>
    </row>
    <row r="360" spans="2:15" outlineLevel="1" x14ac:dyDescent="0.2">
      <c r="B360" s="722" t="s">
        <v>249</v>
      </c>
      <c r="C360" s="186">
        <v>7182</v>
      </c>
      <c r="D360" s="79">
        <f>+C360*(1+D362)</f>
        <v>7182</v>
      </c>
      <c r="E360" s="79">
        <f t="shared" ref="E360" si="473">+D360*(1+E362)</f>
        <v>7182</v>
      </c>
      <c r="F360" s="79">
        <f t="shared" ref="F360" si="474">+E360*(1+F362)</f>
        <v>7182</v>
      </c>
      <c r="G360" s="79">
        <f t="shared" ref="G360" si="475">+F360*(1+G362)</f>
        <v>7182</v>
      </c>
      <c r="H360" s="79">
        <f t="shared" ref="H360" si="476">+G360*(1+H362)</f>
        <v>7182</v>
      </c>
      <c r="I360" s="79">
        <f t="shared" ref="I360" si="477">+H360*(1+I362)</f>
        <v>7182</v>
      </c>
      <c r="J360" s="79">
        <f t="shared" ref="J360" si="478">+I360*(1+J362)</f>
        <v>7182</v>
      </c>
      <c r="K360" s="79">
        <f t="shared" ref="K360" si="479">+J360*(1+K362)</f>
        <v>7182</v>
      </c>
      <c r="L360" s="79">
        <f t="shared" ref="L360" si="480">+K360*(1+L362)</f>
        <v>7182</v>
      </c>
      <c r="M360" s="79">
        <f t="shared" ref="M360" si="481">+L360*(1+M362)</f>
        <v>7182</v>
      </c>
      <c r="N360" s="79">
        <f>+M360*(1+N362)</f>
        <v>7182</v>
      </c>
      <c r="O360" s="79">
        <f>+N360</f>
        <v>7182</v>
      </c>
    </row>
    <row r="361" spans="2:15" outlineLevel="1" x14ac:dyDescent="0.2">
      <c r="B361" s="722"/>
      <c r="C361" s="32"/>
      <c r="D361" s="32"/>
      <c r="E361" s="32"/>
      <c r="F361" s="32"/>
      <c r="G361" s="32"/>
      <c r="H361" s="32"/>
      <c r="I361" s="32"/>
      <c r="J361" s="32"/>
      <c r="K361" s="32"/>
      <c r="L361" s="32"/>
      <c r="M361" s="32"/>
      <c r="N361" s="32"/>
      <c r="O361" s="79"/>
    </row>
    <row r="362" spans="2:15" outlineLevel="1" x14ac:dyDescent="0.2">
      <c r="B362" s="722" t="s">
        <v>282</v>
      </c>
      <c r="C362" s="80"/>
      <c r="D362" s="275">
        <v>0</v>
      </c>
      <c r="E362" s="275">
        <v>0</v>
      </c>
      <c r="F362" s="275">
        <v>0</v>
      </c>
      <c r="G362" s="275">
        <v>0</v>
      </c>
      <c r="H362" s="275">
        <v>0</v>
      </c>
      <c r="I362" s="275">
        <v>0</v>
      </c>
      <c r="J362" s="275">
        <v>0</v>
      </c>
      <c r="K362" s="275">
        <v>0</v>
      </c>
      <c r="L362" s="275">
        <v>0</v>
      </c>
      <c r="M362" s="275">
        <v>0</v>
      </c>
      <c r="N362" s="275">
        <v>0</v>
      </c>
      <c r="O362" s="186"/>
    </row>
    <row r="363" spans="2:15" outlineLevel="1" x14ac:dyDescent="0.2">
      <c r="B363" s="722" t="s">
        <v>1</v>
      </c>
      <c r="C363" s="134">
        <f t="shared" ref="C363:N363" si="482">+C360*C357</f>
        <v>218979.18</v>
      </c>
      <c r="D363" s="134">
        <f t="shared" si="482"/>
        <v>218979.18</v>
      </c>
      <c r="E363" s="134">
        <f t="shared" si="482"/>
        <v>218979.18</v>
      </c>
      <c r="F363" s="134">
        <f t="shared" si="482"/>
        <v>218979.18</v>
      </c>
      <c r="G363" s="134">
        <f t="shared" si="482"/>
        <v>218979.18</v>
      </c>
      <c r="H363" s="134">
        <f t="shared" si="482"/>
        <v>218979.18</v>
      </c>
      <c r="I363" s="134">
        <f t="shared" si="482"/>
        <v>218979.18</v>
      </c>
      <c r="J363" s="134">
        <f t="shared" si="482"/>
        <v>218979.18</v>
      </c>
      <c r="K363" s="134">
        <f t="shared" si="482"/>
        <v>218979.18</v>
      </c>
      <c r="L363" s="134">
        <f t="shared" si="482"/>
        <v>218979.18</v>
      </c>
      <c r="M363" s="134">
        <f t="shared" si="482"/>
        <v>218979.18</v>
      </c>
      <c r="N363" s="134">
        <f t="shared" si="482"/>
        <v>218979.18</v>
      </c>
      <c r="O363" s="134">
        <f>SUM(C363:N363)</f>
        <v>2627750.16</v>
      </c>
    </row>
    <row r="364" spans="2:15" ht="15" x14ac:dyDescent="0.25">
      <c r="B364" s="274" t="s">
        <v>515</v>
      </c>
      <c r="C364" s="81"/>
      <c r="D364" s="81"/>
      <c r="E364" s="81"/>
      <c r="F364" s="81"/>
      <c r="G364" s="81"/>
      <c r="H364" s="81"/>
      <c r="I364" s="81"/>
      <c r="J364" s="81"/>
      <c r="K364" s="81"/>
      <c r="L364" s="81"/>
      <c r="M364" s="81"/>
      <c r="N364" s="81"/>
      <c r="O364" s="81"/>
    </row>
    <row r="365" spans="2:15" outlineLevel="1" x14ac:dyDescent="0.2">
      <c r="B365" s="722" t="s">
        <v>283</v>
      </c>
      <c r="C365" s="186">
        <v>1246.7</v>
      </c>
      <c r="D365" s="79">
        <f>+C365*(1+D367)</f>
        <v>1246.7</v>
      </c>
      <c r="E365" s="79">
        <f t="shared" ref="E365" si="483">+D365*(1+E367)</f>
        <v>1246.7</v>
      </c>
      <c r="F365" s="79">
        <f t="shared" ref="F365" si="484">+E365*(1+F367)</f>
        <v>1246.7</v>
      </c>
      <c r="G365" s="79">
        <f t="shared" ref="G365" si="485">+F365*(1+G367)</f>
        <v>1246.7</v>
      </c>
      <c r="H365" s="79">
        <f t="shared" ref="H365" si="486">+G365*(1+H367)</f>
        <v>1246.7</v>
      </c>
      <c r="I365" s="79">
        <f t="shared" ref="I365" si="487">+H365*(1+I367)</f>
        <v>1246.7</v>
      </c>
      <c r="J365" s="79">
        <f t="shared" ref="J365" si="488">+I365*(1+J367)</f>
        <v>1246.7</v>
      </c>
      <c r="K365" s="79">
        <f t="shared" ref="K365" si="489">+J365*(1+K367)</f>
        <v>1246.7</v>
      </c>
      <c r="L365" s="79">
        <f t="shared" ref="L365" si="490">+K365*(1+L367)</f>
        <v>1246.7</v>
      </c>
      <c r="M365" s="79">
        <f t="shared" ref="M365" si="491">+L365*(1+M367)</f>
        <v>1246.7</v>
      </c>
      <c r="N365" s="79">
        <f>+M365*(1+N367)</f>
        <v>1246.7</v>
      </c>
      <c r="O365" s="79">
        <f>SUM(C365:N365)</f>
        <v>14960.400000000003</v>
      </c>
    </row>
    <row r="366" spans="2:15" outlineLevel="1" x14ac:dyDescent="0.2">
      <c r="B366" s="722"/>
      <c r="C366" s="32"/>
      <c r="D366" s="32"/>
      <c r="E366" s="32"/>
      <c r="F366" s="32"/>
      <c r="G366" s="32"/>
      <c r="H366" s="32"/>
      <c r="I366" s="32"/>
      <c r="J366" s="32"/>
      <c r="K366" s="32"/>
      <c r="L366" s="32"/>
      <c r="M366" s="32"/>
      <c r="N366" s="32"/>
      <c r="O366" s="79"/>
    </row>
    <row r="367" spans="2:15" outlineLevel="1" x14ac:dyDescent="0.2">
      <c r="B367" s="722" t="s">
        <v>282</v>
      </c>
      <c r="C367" s="80"/>
      <c r="D367" s="275"/>
      <c r="E367" s="275"/>
      <c r="F367" s="275"/>
      <c r="G367" s="275"/>
      <c r="H367" s="275"/>
      <c r="I367" s="275"/>
      <c r="J367" s="275"/>
      <c r="K367" s="275"/>
      <c r="L367" s="275"/>
      <c r="M367" s="275"/>
      <c r="N367" s="275"/>
      <c r="O367" s="186"/>
    </row>
    <row r="368" spans="2:15" outlineLevel="1" x14ac:dyDescent="0.2">
      <c r="B368" s="722" t="s">
        <v>249</v>
      </c>
      <c r="C368" s="186">
        <v>2052</v>
      </c>
      <c r="D368" s="79">
        <f>+C368*(1+D370)</f>
        <v>2052</v>
      </c>
      <c r="E368" s="79">
        <f t="shared" ref="E368" si="492">+D368*(1+E370)</f>
        <v>2052</v>
      </c>
      <c r="F368" s="79">
        <f t="shared" ref="F368" si="493">+E368*(1+F370)</f>
        <v>2052</v>
      </c>
      <c r="G368" s="79">
        <f t="shared" ref="G368" si="494">+F368*(1+G370)</f>
        <v>2052</v>
      </c>
      <c r="H368" s="79">
        <f t="shared" ref="H368" si="495">+G368*(1+H370)</f>
        <v>2052</v>
      </c>
      <c r="I368" s="79">
        <f t="shared" ref="I368" si="496">+H368*(1+I370)</f>
        <v>2052</v>
      </c>
      <c r="J368" s="79">
        <f t="shared" ref="J368" si="497">+I368*(1+J370)</f>
        <v>2052</v>
      </c>
      <c r="K368" s="79">
        <f t="shared" ref="K368" si="498">+J368*(1+K370)</f>
        <v>2052</v>
      </c>
      <c r="L368" s="79">
        <f t="shared" ref="L368" si="499">+K368*(1+L370)</f>
        <v>2052</v>
      </c>
      <c r="M368" s="79">
        <f t="shared" ref="M368" si="500">+L368*(1+M370)</f>
        <v>2052</v>
      </c>
      <c r="N368" s="79">
        <f>+M368*(1+N370)</f>
        <v>2052</v>
      </c>
      <c r="O368" s="79">
        <f>+N368</f>
        <v>2052</v>
      </c>
    </row>
    <row r="369" spans="2:15" outlineLevel="1" x14ac:dyDescent="0.2">
      <c r="B369" s="722"/>
      <c r="C369" s="32"/>
      <c r="D369" s="32"/>
      <c r="E369" s="32"/>
      <c r="F369" s="32"/>
      <c r="G369" s="32"/>
      <c r="H369" s="32"/>
      <c r="I369" s="32"/>
      <c r="J369" s="32"/>
      <c r="K369" s="32"/>
      <c r="L369" s="32"/>
      <c r="M369" s="32"/>
      <c r="N369" s="32"/>
      <c r="O369" s="79"/>
    </row>
    <row r="370" spans="2:15" outlineLevel="1" x14ac:dyDescent="0.2">
      <c r="B370" s="722" t="s">
        <v>282</v>
      </c>
      <c r="C370" s="80"/>
      <c r="D370" s="275">
        <v>0</v>
      </c>
      <c r="E370" s="275">
        <v>0</v>
      </c>
      <c r="F370" s="275">
        <v>0</v>
      </c>
      <c r="G370" s="275">
        <v>0</v>
      </c>
      <c r="H370" s="275">
        <v>0</v>
      </c>
      <c r="I370" s="275">
        <v>0</v>
      </c>
      <c r="J370" s="275">
        <v>0</v>
      </c>
      <c r="K370" s="275">
        <v>0</v>
      </c>
      <c r="L370" s="275">
        <v>0</v>
      </c>
      <c r="M370" s="275">
        <v>0</v>
      </c>
      <c r="N370" s="275">
        <v>0</v>
      </c>
      <c r="O370" s="186"/>
    </row>
    <row r="371" spans="2:15" outlineLevel="1" x14ac:dyDescent="0.2">
      <c r="B371" s="722" t="s">
        <v>1</v>
      </c>
      <c r="C371" s="134">
        <f t="shared" ref="C371:N371" si="501">+C368*C365</f>
        <v>2558228.4</v>
      </c>
      <c r="D371" s="134">
        <f t="shared" si="501"/>
        <v>2558228.4</v>
      </c>
      <c r="E371" s="134">
        <f t="shared" si="501"/>
        <v>2558228.4</v>
      </c>
      <c r="F371" s="134">
        <f t="shared" si="501"/>
        <v>2558228.4</v>
      </c>
      <c r="G371" s="134">
        <f t="shared" si="501"/>
        <v>2558228.4</v>
      </c>
      <c r="H371" s="134">
        <f t="shared" si="501"/>
        <v>2558228.4</v>
      </c>
      <c r="I371" s="134">
        <f t="shared" si="501"/>
        <v>2558228.4</v>
      </c>
      <c r="J371" s="134">
        <f t="shared" si="501"/>
        <v>2558228.4</v>
      </c>
      <c r="K371" s="134">
        <f t="shared" si="501"/>
        <v>2558228.4</v>
      </c>
      <c r="L371" s="134">
        <f t="shared" si="501"/>
        <v>2558228.4</v>
      </c>
      <c r="M371" s="134">
        <f t="shared" si="501"/>
        <v>2558228.4</v>
      </c>
      <c r="N371" s="134">
        <f t="shared" si="501"/>
        <v>2558228.4</v>
      </c>
      <c r="O371" s="134">
        <f>SUM(C371:N371)</f>
        <v>30698740.799999993</v>
      </c>
    </row>
    <row r="372" spans="2:15" ht="15" x14ac:dyDescent="0.25">
      <c r="B372" s="274" t="s">
        <v>516</v>
      </c>
      <c r="C372" s="81"/>
      <c r="D372" s="81"/>
      <c r="E372" s="81"/>
      <c r="F372" s="81"/>
      <c r="G372" s="81"/>
      <c r="H372" s="81"/>
      <c r="I372" s="81"/>
      <c r="J372" s="81"/>
      <c r="K372" s="81"/>
      <c r="L372" s="81"/>
      <c r="M372" s="81"/>
      <c r="N372" s="81"/>
      <c r="O372" s="81"/>
    </row>
    <row r="373" spans="2:15" outlineLevel="1" x14ac:dyDescent="0.2">
      <c r="B373" s="722" t="s">
        <v>283</v>
      </c>
      <c r="C373" s="186">
        <v>81.31</v>
      </c>
      <c r="D373" s="79">
        <f>+C373*(1+D375)</f>
        <v>81.31</v>
      </c>
      <c r="E373" s="79">
        <f t="shared" ref="E373:M373" si="502">+D373*(1+E375)</f>
        <v>81.31</v>
      </c>
      <c r="F373" s="79">
        <f t="shared" si="502"/>
        <v>81.31</v>
      </c>
      <c r="G373" s="79">
        <f t="shared" si="502"/>
        <v>81.31</v>
      </c>
      <c r="H373" s="79">
        <f t="shared" si="502"/>
        <v>81.31</v>
      </c>
      <c r="I373" s="79">
        <f t="shared" si="502"/>
        <v>81.31</v>
      </c>
      <c r="J373" s="79">
        <f t="shared" si="502"/>
        <v>81.31</v>
      </c>
      <c r="K373" s="79">
        <f t="shared" si="502"/>
        <v>81.31</v>
      </c>
      <c r="L373" s="79">
        <f t="shared" si="502"/>
        <v>81.31</v>
      </c>
      <c r="M373" s="79">
        <f t="shared" si="502"/>
        <v>81.31</v>
      </c>
      <c r="N373" s="79">
        <f>+M373*(1+N375)</f>
        <v>81.31</v>
      </c>
      <c r="O373" s="79">
        <f>SUM(C373:N373)</f>
        <v>975.7199999999998</v>
      </c>
    </row>
    <row r="374" spans="2:15" outlineLevel="1" x14ac:dyDescent="0.2">
      <c r="B374" s="722"/>
      <c r="C374" s="32"/>
      <c r="D374" s="32"/>
      <c r="E374" s="32"/>
      <c r="F374" s="32"/>
      <c r="G374" s="32"/>
      <c r="H374" s="32"/>
      <c r="I374" s="32"/>
      <c r="J374" s="32"/>
      <c r="K374" s="32"/>
      <c r="L374" s="32"/>
      <c r="M374" s="32"/>
      <c r="N374" s="32"/>
      <c r="O374" s="79"/>
    </row>
    <row r="375" spans="2:15" outlineLevel="1" x14ac:dyDescent="0.2">
      <c r="B375" s="722" t="s">
        <v>282</v>
      </c>
      <c r="C375" s="80"/>
      <c r="D375" s="275"/>
      <c r="E375" s="275"/>
      <c r="F375" s="275"/>
      <c r="G375" s="275"/>
      <c r="H375" s="275"/>
      <c r="I375" s="275"/>
      <c r="J375" s="275"/>
      <c r="K375" s="275"/>
      <c r="L375" s="275"/>
      <c r="M375" s="275"/>
      <c r="N375" s="275"/>
      <c r="O375" s="275"/>
    </row>
    <row r="376" spans="2:15" outlineLevel="1" x14ac:dyDescent="0.2">
      <c r="B376" s="722" t="s">
        <v>249</v>
      </c>
      <c r="C376" s="186">
        <v>3283.2</v>
      </c>
      <c r="D376" s="79">
        <f>+C376*(1+D378)</f>
        <v>3283.2</v>
      </c>
      <c r="E376" s="79">
        <f t="shared" ref="E376:M376" si="503">+D376*(1+E378)</f>
        <v>3283.2</v>
      </c>
      <c r="F376" s="79">
        <f t="shared" si="503"/>
        <v>3283.2</v>
      </c>
      <c r="G376" s="79">
        <f t="shared" si="503"/>
        <v>3283.2</v>
      </c>
      <c r="H376" s="79">
        <f t="shared" si="503"/>
        <v>3283.2</v>
      </c>
      <c r="I376" s="79">
        <f t="shared" si="503"/>
        <v>3283.2</v>
      </c>
      <c r="J376" s="79">
        <f t="shared" si="503"/>
        <v>3283.2</v>
      </c>
      <c r="K376" s="79">
        <f t="shared" si="503"/>
        <v>3283.2</v>
      </c>
      <c r="L376" s="79">
        <f t="shared" si="503"/>
        <v>3283.2</v>
      </c>
      <c r="M376" s="79">
        <f t="shared" si="503"/>
        <v>3283.2</v>
      </c>
      <c r="N376" s="79">
        <f>+M376*(1+N378)</f>
        <v>3283.2</v>
      </c>
      <c r="O376" s="79">
        <f>+N376</f>
        <v>3283.2</v>
      </c>
    </row>
    <row r="377" spans="2:15" outlineLevel="1" x14ac:dyDescent="0.2">
      <c r="B377" s="722"/>
      <c r="C377" s="32"/>
      <c r="D377" s="32"/>
      <c r="E377" s="32"/>
      <c r="F377" s="32"/>
      <c r="G377" s="32"/>
      <c r="H377" s="32"/>
      <c r="I377" s="32"/>
      <c r="J377" s="32"/>
      <c r="K377" s="32"/>
      <c r="L377" s="32"/>
      <c r="M377" s="32"/>
      <c r="N377" s="32"/>
      <c r="O377" s="79"/>
    </row>
    <row r="378" spans="2:15" outlineLevel="1" x14ac:dyDescent="0.2">
      <c r="B378" s="722" t="s">
        <v>282</v>
      </c>
      <c r="C378" s="80"/>
      <c r="D378" s="275">
        <v>0</v>
      </c>
      <c r="E378" s="275">
        <v>0</v>
      </c>
      <c r="F378" s="275">
        <v>0</v>
      </c>
      <c r="G378" s="275">
        <v>0</v>
      </c>
      <c r="H378" s="275">
        <v>0</v>
      </c>
      <c r="I378" s="275">
        <v>0</v>
      </c>
      <c r="J378" s="275">
        <v>0</v>
      </c>
      <c r="K378" s="275">
        <v>0</v>
      </c>
      <c r="L378" s="275">
        <v>0</v>
      </c>
      <c r="M378" s="275">
        <v>0</v>
      </c>
      <c r="N378" s="275">
        <v>0</v>
      </c>
      <c r="O378" s="186"/>
    </row>
    <row r="379" spans="2:15" outlineLevel="1" x14ac:dyDescent="0.2">
      <c r="B379" s="722" t="s">
        <v>1</v>
      </c>
      <c r="C379" s="134">
        <f t="shared" ref="C379:M379" si="504">+C376*C373</f>
        <v>266956.99199999997</v>
      </c>
      <c r="D379" s="134">
        <f t="shared" si="504"/>
        <v>266956.99199999997</v>
      </c>
      <c r="E379" s="134">
        <f t="shared" si="504"/>
        <v>266956.99199999997</v>
      </c>
      <c r="F379" s="134">
        <f t="shared" si="504"/>
        <v>266956.99199999997</v>
      </c>
      <c r="G379" s="134">
        <f t="shared" si="504"/>
        <v>266956.99199999997</v>
      </c>
      <c r="H379" s="134">
        <f t="shared" si="504"/>
        <v>266956.99199999997</v>
      </c>
      <c r="I379" s="134">
        <f t="shared" si="504"/>
        <v>266956.99199999997</v>
      </c>
      <c r="J379" s="134">
        <f t="shared" si="504"/>
        <v>266956.99199999997</v>
      </c>
      <c r="K379" s="134">
        <f t="shared" si="504"/>
        <v>266956.99199999997</v>
      </c>
      <c r="L379" s="134">
        <f t="shared" si="504"/>
        <v>266956.99199999997</v>
      </c>
      <c r="M379" s="134">
        <f t="shared" si="504"/>
        <v>266956.99199999997</v>
      </c>
      <c r="N379" s="134">
        <f>+N376*N373</f>
        <v>266956.99199999997</v>
      </c>
      <c r="O379" s="134">
        <f>SUM(C379:N379)</f>
        <v>3203483.9040000006</v>
      </c>
    </row>
    <row r="380" spans="2:15" x14ac:dyDescent="0.2">
      <c r="B380" s="26"/>
      <c r="C380" s="81"/>
      <c r="D380" s="81"/>
      <c r="E380" s="81"/>
      <c r="F380" s="81"/>
      <c r="G380" s="81"/>
      <c r="H380" s="81"/>
      <c r="I380" s="81"/>
      <c r="J380" s="81"/>
      <c r="K380" s="81"/>
      <c r="L380" s="81"/>
      <c r="M380" s="81"/>
      <c r="N380" s="81"/>
      <c r="O380" s="81"/>
    </row>
    <row r="381" spans="2:15" x14ac:dyDescent="0.2">
      <c r="B381" s="26"/>
      <c r="C381" s="83"/>
      <c r="D381" s="83"/>
      <c r="E381" s="83"/>
      <c r="F381" s="83"/>
      <c r="G381" s="83"/>
      <c r="H381" s="83"/>
      <c r="I381" s="83"/>
      <c r="J381" s="83"/>
      <c r="K381" s="83"/>
      <c r="L381" s="83"/>
      <c r="M381" s="83"/>
      <c r="N381" s="83"/>
      <c r="O381" s="83"/>
    </row>
    <row r="382" spans="2:15" x14ac:dyDescent="0.2">
      <c r="B382" s="123" t="s">
        <v>101</v>
      </c>
      <c r="C382" s="159">
        <f t="shared" ref="C382:K382" si="505">+C19+C27+C35+C43+C51+C59+C67+C75+C83+C91+C99+C107+C115+C123+C131+C139+C147+C155+C163+C171+C179+C187+C195+C203+C211+C219+C227+C235+C243+C251+C259+C267+C275+C283+C291+C299+C307+C315+C323+C331+C339+C347+C355+C363+C371+C379</f>
        <v>125143461.62399997</v>
      </c>
      <c r="D382" s="159">
        <f t="shared" si="505"/>
        <v>125143461.62399997</v>
      </c>
      <c r="E382" s="159">
        <f t="shared" si="505"/>
        <v>125143461.62399997</v>
      </c>
      <c r="F382" s="159">
        <f t="shared" si="505"/>
        <v>125143461.62399997</v>
      </c>
      <c r="G382" s="159">
        <f t="shared" si="505"/>
        <v>125143461.62399997</v>
      </c>
      <c r="H382" s="159">
        <f t="shared" si="505"/>
        <v>125143461.62399997</v>
      </c>
      <c r="I382" s="159">
        <f t="shared" si="505"/>
        <v>125143461.62399997</v>
      </c>
      <c r="J382" s="159">
        <f t="shared" si="505"/>
        <v>125143461.62399997</v>
      </c>
      <c r="K382" s="159">
        <f t="shared" si="505"/>
        <v>125143461.62399997</v>
      </c>
      <c r="L382" s="159">
        <f t="shared" ref="L382:M382" si="506">+L19+L27+L35+L43+L51+L59+L67+L75+L83+L91+L99+L107+L115+L123+L131+L139+L147+L155+L163+L171+L179+L187+L195+L203+L211+L219+L227+L235+L243+L251+L259+L267+L275+L283+L291+L299+L307+L315+L323+L331+L339+L347+L355+L363+L371+L379</f>
        <v>125143461.62399997</v>
      </c>
      <c r="M382" s="159">
        <f t="shared" si="506"/>
        <v>125143461.62399997</v>
      </c>
      <c r="N382" s="159">
        <f>+N19+N27+N35+N43+N51+N59+N67+N75+N83+N91+N99+N107+N115+N123+N131+N139+N147+N155+N163+N171+N179+N187+N195+N203+N211+N219+N227+N235+N243+N251+N259+N267+N275+N283+N291+N299+N307+N315+N323+N331+N339+N347+N355+N363+N371+N379</f>
        <v>125143461.62399997</v>
      </c>
      <c r="O382" s="159">
        <f>+SUM(C382:N382)</f>
        <v>1501721539.4879999</v>
      </c>
    </row>
    <row r="385" spans="2:14" x14ac:dyDescent="0.2">
      <c r="B385" s="754" t="str">
        <f>Supuestos!B8</f>
        <v>Centro de acopio la Bonanza Campesina</v>
      </c>
      <c r="C385" s="755"/>
      <c r="D385" s="755"/>
      <c r="E385" s="755"/>
      <c r="F385" s="755"/>
      <c r="G385" s="755"/>
      <c r="H385" s="755"/>
      <c r="N385" s="130"/>
    </row>
    <row r="386" spans="2:14" x14ac:dyDescent="0.2">
      <c r="B386" s="754" t="s">
        <v>103</v>
      </c>
      <c r="C386" s="755"/>
      <c r="D386" s="755"/>
      <c r="E386" s="755"/>
      <c r="F386" s="755"/>
      <c r="G386" s="755"/>
      <c r="H386" s="755"/>
    </row>
    <row r="388" spans="2:14" outlineLevel="1" x14ac:dyDescent="0.2">
      <c r="B388" s="123" t="s">
        <v>87</v>
      </c>
      <c r="C388" s="124" t="s">
        <v>325</v>
      </c>
      <c r="D388" s="124" t="s">
        <v>326</v>
      </c>
      <c r="E388" s="124" t="s">
        <v>327</v>
      </c>
      <c r="F388" s="124" t="s">
        <v>328</v>
      </c>
      <c r="G388" s="124" t="s">
        <v>329</v>
      </c>
      <c r="H388" s="124" t="s">
        <v>393</v>
      </c>
    </row>
    <row r="389" spans="2:14" ht="15" outlineLevel="1" x14ac:dyDescent="0.25">
      <c r="B389" s="723" t="str">
        <f>B12</f>
        <v>Arracacha</v>
      </c>
      <c r="C389" s="128"/>
      <c r="D389" s="84">
        <f>+D396/C396-1</f>
        <v>7.4263085399448814E-2</v>
      </c>
      <c r="E389" s="84">
        <f>+E396/D396-1</f>
        <v>7.7165562913907415E-2</v>
      </c>
      <c r="F389" s="84">
        <f>+F396/E396-1</f>
        <v>8.182165605095526E-2</v>
      </c>
      <c r="G389" s="84">
        <f>+G396/F396-1</f>
        <v>8.8719836400818153E-2</v>
      </c>
      <c r="H389" s="84">
        <f>+H396/G396-1</f>
        <v>9.5496062992126207E-2</v>
      </c>
    </row>
    <row r="390" spans="2:14" outlineLevel="2" x14ac:dyDescent="0.2">
      <c r="B390" s="721" t="s">
        <v>425</v>
      </c>
      <c r="C390" s="79">
        <f>O13</f>
        <v>435.60000000000008</v>
      </c>
      <c r="D390" s="79">
        <f>ROUNDDOWN(C390*(1+D392)*(1+D391),0)</f>
        <v>453</v>
      </c>
      <c r="E390" s="79">
        <f>ROUNDDOWN(D390*(1+E392)*(1+E391),0)</f>
        <v>471</v>
      </c>
      <c r="F390" s="79">
        <f>ROUNDDOWN(E390*(1+F392)*(1+F391),0)</f>
        <v>489</v>
      </c>
      <c r="G390" s="79">
        <f>ROUNDDOWN(F390*(1+G392)*(1+G391),0)</f>
        <v>508</v>
      </c>
      <c r="H390" s="79">
        <f>ROUNDDOWN(G390*(1+H392)*(1+H391),0)</f>
        <v>528</v>
      </c>
    </row>
    <row r="391" spans="2:14" outlineLevel="2" x14ac:dyDescent="0.2">
      <c r="B391" s="724" t="s">
        <v>302</v>
      </c>
      <c r="C391" s="129">
        <f>+Supuestos!$D$14</f>
        <v>4.1000000000000002E-2</v>
      </c>
      <c r="D391" s="129">
        <f>+Supuestos!$E$14</f>
        <v>0.04</v>
      </c>
      <c r="E391" s="129">
        <f>+Supuestos!$F$14</f>
        <v>0.04</v>
      </c>
      <c r="F391" s="129">
        <f>+Supuestos!$G$14</f>
        <v>0.04</v>
      </c>
      <c r="G391" s="129">
        <f>+Supuestos!$H$14</f>
        <v>0.04</v>
      </c>
      <c r="H391" s="129">
        <f>+Supuestos!$I$14</f>
        <v>0.04</v>
      </c>
    </row>
    <row r="392" spans="2:14" outlineLevel="2" x14ac:dyDescent="0.2">
      <c r="B392" s="724" t="s">
        <v>303</v>
      </c>
      <c r="C392" s="79"/>
      <c r="D392" s="275"/>
      <c r="E392" s="275"/>
      <c r="F392" s="275"/>
      <c r="G392" s="275"/>
      <c r="H392" s="275"/>
    </row>
    <row r="393" spans="2:14" outlineLevel="2" x14ac:dyDescent="0.2">
      <c r="B393" s="722" t="s">
        <v>249</v>
      </c>
      <c r="C393" s="79">
        <f>O16</f>
        <v>3163.16</v>
      </c>
      <c r="D393" s="79">
        <f>+C393*(1+D395)*(1+C394)</f>
        <v>3267.5442799999996</v>
      </c>
      <c r="E393" s="79">
        <f>+D393*(1+E395)*(1+D394)</f>
        <v>3385.1758740799996</v>
      </c>
      <c r="F393" s="79">
        <f>+E393*(1+F395)*(1+E394)</f>
        <v>3527.3532607913598</v>
      </c>
      <c r="G393" s="79">
        <f>+F393*(1+G395)*(1+F394)</f>
        <v>3696.6662173093455</v>
      </c>
      <c r="H393" s="79">
        <f>+G393*(1+H395)*(1+G394)</f>
        <v>3896.2861930440504</v>
      </c>
    </row>
    <row r="394" spans="2:14" outlineLevel="2" x14ac:dyDescent="0.2">
      <c r="B394" s="724" t="s">
        <v>304</v>
      </c>
      <c r="C394" s="129">
        <f>+Supuestos!$D$13</f>
        <v>3.3000000000000002E-2</v>
      </c>
      <c r="D394" s="129">
        <f>+Supuestos!$E$13</f>
        <v>3.5999999999999997E-2</v>
      </c>
      <c r="E394" s="129">
        <f>+Supuestos!$F$13</f>
        <v>4.2000000000000003E-2</v>
      </c>
      <c r="F394" s="129">
        <f>+Supuestos!$G$13</f>
        <v>4.8000000000000001E-2</v>
      </c>
      <c r="G394" s="129">
        <f>+Supuestos!$H$13</f>
        <v>5.3999999999999999E-2</v>
      </c>
      <c r="H394" s="129">
        <f>+Supuestos!$I$13</f>
        <v>0.06</v>
      </c>
    </row>
    <row r="395" spans="2:14" outlineLevel="2" x14ac:dyDescent="0.2">
      <c r="B395" s="724" t="s">
        <v>282</v>
      </c>
      <c r="C395" s="79"/>
      <c r="D395" s="275">
        <v>0</v>
      </c>
      <c r="E395" s="275">
        <v>0</v>
      </c>
      <c r="F395" s="275">
        <v>0</v>
      </c>
      <c r="G395" s="275">
        <v>0</v>
      </c>
      <c r="H395" s="275">
        <v>0</v>
      </c>
    </row>
    <row r="396" spans="2:14" ht="15" outlineLevel="2" x14ac:dyDescent="0.25">
      <c r="B396" s="725" t="s">
        <v>1</v>
      </c>
      <c r="C396" s="136">
        <f>+C393*C390</f>
        <v>1377872.4960000003</v>
      </c>
      <c r="D396" s="136">
        <f t="shared" ref="D396:H396" si="507">+D393*D390</f>
        <v>1480197.5588399998</v>
      </c>
      <c r="E396" s="136">
        <f t="shared" si="507"/>
        <v>1594417.8366916799</v>
      </c>
      <c r="F396" s="136">
        <f t="shared" si="507"/>
        <v>1724875.7445269749</v>
      </c>
      <c r="G396" s="136">
        <f t="shared" si="507"/>
        <v>1877906.4383931474</v>
      </c>
      <c r="H396" s="136">
        <f t="shared" si="507"/>
        <v>2057239.1099272587</v>
      </c>
    </row>
    <row r="397" spans="2:14" ht="15" outlineLevel="1" x14ac:dyDescent="0.25">
      <c r="B397" s="723" t="str">
        <f>B20</f>
        <v>Repollo Blanco</v>
      </c>
      <c r="C397" s="128"/>
      <c r="D397" s="84">
        <f>+D404/C404-1</f>
        <v>7.4213540470906114E-2</v>
      </c>
      <c r="E397" s="84">
        <f>+E404/D404-1</f>
        <v>7.7424751625168708E-2</v>
      </c>
      <c r="F397" s="84">
        <f>+F404/E404-1</f>
        <v>8.3660337303927301E-2</v>
      </c>
      <c r="G397" s="84">
        <f>+G404/F404-1</f>
        <v>8.9834429575867514E-2</v>
      </c>
      <c r="H397" s="84">
        <f>+H404/G404-1</f>
        <v>9.6068047982551752E-2</v>
      </c>
    </row>
    <row r="398" spans="2:14" outlineLevel="2" x14ac:dyDescent="0.2">
      <c r="B398" s="721" t="s">
        <v>425</v>
      </c>
      <c r="C398" s="79">
        <f>O21</f>
        <v>7840.2000000000016</v>
      </c>
      <c r="D398" s="79">
        <f>ROUNDDOWN(C398*(1+D400)*(1+D399),0)</f>
        <v>8153</v>
      </c>
      <c r="E398" s="79">
        <f>ROUNDDOWN(D398*(1+E400)*(1+E399),0)</f>
        <v>8479</v>
      </c>
      <c r="F398" s="79">
        <f>ROUNDDOWN(E398*(1+F400)*(1+F399),0)</f>
        <v>8818</v>
      </c>
      <c r="G398" s="79">
        <f>ROUNDDOWN(F398*(1+G400)*(1+G399),0)</f>
        <v>9170</v>
      </c>
      <c r="H398" s="79">
        <f>ROUNDDOWN(G398*(1+H400)*(1+H399),0)</f>
        <v>9536</v>
      </c>
    </row>
    <row r="399" spans="2:14" outlineLevel="2" x14ac:dyDescent="0.2">
      <c r="B399" s="724" t="s">
        <v>302</v>
      </c>
      <c r="C399" s="129">
        <f>+Supuestos!$D$14</f>
        <v>4.1000000000000002E-2</v>
      </c>
      <c r="D399" s="129">
        <f>+Supuestos!$E$14</f>
        <v>0.04</v>
      </c>
      <c r="E399" s="129">
        <f>+Supuestos!$F$14</f>
        <v>0.04</v>
      </c>
      <c r="F399" s="129">
        <f>+Supuestos!$G$14</f>
        <v>0.04</v>
      </c>
      <c r="G399" s="129">
        <f>+Supuestos!$H$14</f>
        <v>0.04</v>
      </c>
      <c r="H399" s="129">
        <f>+Supuestos!$I$14</f>
        <v>0.04</v>
      </c>
    </row>
    <row r="400" spans="2:14" outlineLevel="2" x14ac:dyDescent="0.2">
      <c r="B400" s="724" t="s">
        <v>303</v>
      </c>
      <c r="C400" s="79"/>
      <c r="D400" s="275"/>
      <c r="E400" s="275"/>
      <c r="F400" s="275"/>
      <c r="G400" s="275"/>
      <c r="H400" s="275"/>
    </row>
    <row r="401" spans="2:10" outlineLevel="2" x14ac:dyDescent="0.2">
      <c r="B401" s="722" t="s">
        <v>249</v>
      </c>
      <c r="C401" s="79">
        <f>O24</f>
        <v>889.54</v>
      </c>
      <c r="D401" s="79">
        <f>+C401*(1+D403)*(1+C402)</f>
        <v>918.89481999999987</v>
      </c>
      <c r="E401" s="79">
        <f>+D401*(1+E403)*(1+D402)</f>
        <v>951.9750335199999</v>
      </c>
      <c r="F401" s="79">
        <f>+E401*(1+F403)*(1+E402)</f>
        <v>991.9579849278399</v>
      </c>
      <c r="G401" s="79">
        <f>+F401*(1+G403)*(1+F402)</f>
        <v>1039.5719682043762</v>
      </c>
      <c r="H401" s="79">
        <f>+G401*(1+H403)*(1+G402)</f>
        <v>1095.7088544874125</v>
      </c>
    </row>
    <row r="402" spans="2:10" outlineLevel="2" x14ac:dyDescent="0.2">
      <c r="B402" s="724" t="s">
        <v>304</v>
      </c>
      <c r="C402" s="129">
        <f>+Supuestos!$D$13</f>
        <v>3.3000000000000002E-2</v>
      </c>
      <c r="D402" s="129">
        <f>+Supuestos!$E$13</f>
        <v>3.5999999999999997E-2</v>
      </c>
      <c r="E402" s="129">
        <f>+Supuestos!$F$13</f>
        <v>4.2000000000000003E-2</v>
      </c>
      <c r="F402" s="129">
        <f>+Supuestos!$G$13</f>
        <v>4.8000000000000001E-2</v>
      </c>
      <c r="G402" s="129">
        <f>+Supuestos!$H$13</f>
        <v>5.3999999999999999E-2</v>
      </c>
      <c r="H402" s="129">
        <f>+Supuestos!$I$13</f>
        <v>0.06</v>
      </c>
    </row>
    <row r="403" spans="2:10" outlineLevel="2" x14ac:dyDescent="0.2">
      <c r="B403" s="724" t="s">
        <v>282</v>
      </c>
      <c r="C403" s="79"/>
      <c r="D403" s="275">
        <v>0</v>
      </c>
      <c r="E403" s="275">
        <v>0</v>
      </c>
      <c r="F403" s="275">
        <v>0</v>
      </c>
      <c r="G403" s="275">
        <v>0</v>
      </c>
      <c r="H403" s="275">
        <v>0</v>
      </c>
    </row>
    <row r="404" spans="2:10" ht="15" outlineLevel="2" x14ac:dyDescent="0.25">
      <c r="B404" s="725" t="s">
        <v>1</v>
      </c>
      <c r="C404" s="136">
        <f>+C401*C398</f>
        <v>6974171.5080000013</v>
      </c>
      <c r="D404" s="136">
        <f t="shared" ref="D404:H404" si="508">+D401*D398</f>
        <v>7491749.467459999</v>
      </c>
      <c r="E404" s="136">
        <f t="shared" si="508"/>
        <v>8071796.3092160793</v>
      </c>
      <c r="F404" s="136">
        <f t="shared" si="508"/>
        <v>8747085.5110936929</v>
      </c>
      <c r="G404" s="136">
        <f t="shared" si="508"/>
        <v>9532874.9484341294</v>
      </c>
      <c r="H404" s="136">
        <f t="shared" si="508"/>
        <v>10448679.636391966</v>
      </c>
    </row>
    <row r="405" spans="2:10" ht="15" outlineLevel="1" x14ac:dyDescent="0.25">
      <c r="B405" s="723" t="str">
        <f>+B28</f>
        <v>Ají Dulce</v>
      </c>
      <c r="C405" s="128"/>
      <c r="D405" s="84"/>
      <c r="E405" s="84"/>
      <c r="F405" s="84"/>
      <c r="G405" s="84"/>
      <c r="H405" s="84"/>
    </row>
    <row r="406" spans="2:10" outlineLevel="2" x14ac:dyDescent="0.2">
      <c r="B406" s="721" t="s">
        <v>425</v>
      </c>
      <c r="C406" s="79">
        <f>+O29</f>
        <v>377.52</v>
      </c>
      <c r="D406" s="79">
        <f>ROUNDDOWN(C406*(1+D408)*(1+D407),0)</f>
        <v>392</v>
      </c>
      <c r="E406" s="79">
        <f>ROUNDDOWN(D406*(1+E408)*(1+E407),0)</f>
        <v>407</v>
      </c>
      <c r="F406" s="79">
        <f>ROUNDDOWN(E406*(1+F408)*(1+F407),0)</f>
        <v>423</v>
      </c>
      <c r="G406" s="79">
        <f>ROUNDDOWN(F406*(1+G408)*(1+G407),0)</f>
        <v>439</v>
      </c>
      <c r="H406" s="79">
        <f>ROUNDDOWN(G406*(1+H408)*(1+H407),0)</f>
        <v>456</v>
      </c>
      <c r="J406" s="23">
        <f>SUM(C406/10000)</f>
        <v>3.7752000000000001E-2</v>
      </c>
    </row>
    <row r="407" spans="2:10" outlineLevel="2" x14ac:dyDescent="0.2">
      <c r="B407" s="724" t="s">
        <v>302</v>
      </c>
      <c r="C407" s="129">
        <f>+Supuestos!$D$14</f>
        <v>4.1000000000000002E-2</v>
      </c>
      <c r="D407" s="129">
        <f>+Supuestos!$E$14</f>
        <v>0.04</v>
      </c>
      <c r="E407" s="129">
        <f>+Supuestos!$F$14</f>
        <v>0.04</v>
      </c>
      <c r="F407" s="129">
        <f>+Supuestos!$G$14</f>
        <v>0.04</v>
      </c>
      <c r="G407" s="129">
        <f>+Supuestos!$H$14</f>
        <v>0.04</v>
      </c>
      <c r="H407" s="129">
        <f>+Supuestos!$I$14</f>
        <v>0.04</v>
      </c>
    </row>
    <row r="408" spans="2:10" outlineLevel="2" x14ac:dyDescent="0.2">
      <c r="B408" s="724" t="s">
        <v>303</v>
      </c>
      <c r="C408" s="79"/>
      <c r="D408" s="275"/>
      <c r="E408" s="275"/>
      <c r="F408" s="275"/>
      <c r="G408" s="275"/>
      <c r="H408" s="275"/>
    </row>
    <row r="409" spans="2:10" outlineLevel="2" x14ac:dyDescent="0.2">
      <c r="B409" s="722" t="s">
        <v>249</v>
      </c>
      <c r="C409" s="79">
        <f>+O32</f>
        <v>3078</v>
      </c>
      <c r="D409" s="79">
        <f>+C409*(1+D411)*(1+C410)</f>
        <v>3179.5739999999996</v>
      </c>
      <c r="E409" s="79">
        <f>+D409*(1+E411)*(1+D410)</f>
        <v>3294.0386639999997</v>
      </c>
      <c r="F409" s="79">
        <f>+E409*(1+F411)*(1+E410)</f>
        <v>3432.3882878879999</v>
      </c>
      <c r="G409" s="79">
        <f>+F409*(1+G411)*(1+F410)</f>
        <v>3597.1429257066243</v>
      </c>
      <c r="H409" s="79">
        <f>+G409*(1+H411)*(1+G410)</f>
        <v>3791.3886436947823</v>
      </c>
    </row>
    <row r="410" spans="2:10" outlineLevel="2" x14ac:dyDescent="0.2">
      <c r="B410" s="724" t="s">
        <v>304</v>
      </c>
      <c r="C410" s="129">
        <f>+Supuestos!$D$13</f>
        <v>3.3000000000000002E-2</v>
      </c>
      <c r="D410" s="129">
        <f>+Supuestos!$E$13</f>
        <v>3.5999999999999997E-2</v>
      </c>
      <c r="E410" s="129">
        <f>+Supuestos!$F$13</f>
        <v>4.2000000000000003E-2</v>
      </c>
      <c r="F410" s="129">
        <f>+Supuestos!$G$13</f>
        <v>4.8000000000000001E-2</v>
      </c>
      <c r="G410" s="129">
        <f>+Supuestos!$H$13</f>
        <v>5.3999999999999999E-2</v>
      </c>
      <c r="H410" s="129">
        <f>+Supuestos!$I$13</f>
        <v>0.06</v>
      </c>
    </row>
    <row r="411" spans="2:10" outlineLevel="2" x14ac:dyDescent="0.2">
      <c r="B411" s="724" t="s">
        <v>282</v>
      </c>
      <c r="C411" s="79"/>
      <c r="D411" s="275"/>
      <c r="E411" s="275"/>
      <c r="F411" s="275"/>
      <c r="G411" s="275"/>
      <c r="H411" s="275"/>
    </row>
    <row r="412" spans="2:10" ht="15" outlineLevel="2" x14ac:dyDescent="0.25">
      <c r="B412" s="725" t="s">
        <v>1</v>
      </c>
      <c r="C412" s="136">
        <f t="shared" ref="C412:H412" si="509">+C409*C406</f>
        <v>1162006.56</v>
      </c>
      <c r="D412" s="136">
        <f t="shared" si="509"/>
        <v>1246393.0079999999</v>
      </c>
      <c r="E412" s="136">
        <f t="shared" si="509"/>
        <v>1340673.7362479998</v>
      </c>
      <c r="F412" s="136">
        <f t="shared" si="509"/>
        <v>1451900.245776624</v>
      </c>
      <c r="G412" s="136">
        <f t="shared" si="509"/>
        <v>1579145.744385208</v>
      </c>
      <c r="H412" s="136">
        <f t="shared" si="509"/>
        <v>1728873.2215248207</v>
      </c>
    </row>
    <row r="413" spans="2:10" ht="15" outlineLevel="1" x14ac:dyDescent="0.25">
      <c r="B413" s="723" t="str">
        <f>+B36</f>
        <v>Ají Picante</v>
      </c>
      <c r="C413" s="128"/>
      <c r="D413" s="84"/>
      <c r="E413" s="84"/>
      <c r="F413" s="84"/>
      <c r="G413" s="84"/>
      <c r="H413" s="84"/>
    </row>
    <row r="414" spans="2:10" outlineLevel="2" x14ac:dyDescent="0.2">
      <c r="B414" s="721" t="s">
        <v>425</v>
      </c>
      <c r="C414" s="79">
        <f>+O37</f>
        <v>406.56</v>
      </c>
      <c r="D414" s="79">
        <f>ROUNDDOWN(C414*(1+D416)*(1+D415),0)</f>
        <v>422</v>
      </c>
      <c r="E414" s="79">
        <f>ROUNDDOWN(D414*(1+E416)*(1+E415),0)</f>
        <v>438</v>
      </c>
      <c r="F414" s="79">
        <f>ROUNDDOWN(E414*(1+F416)*(1+F415),0)</f>
        <v>455</v>
      </c>
      <c r="G414" s="79">
        <f>ROUNDDOWN(F414*(1+G416)*(1+G415),0)</f>
        <v>473</v>
      </c>
      <c r="H414" s="79">
        <f>ROUNDDOWN(G414*(1+H416)*(1+H415),0)</f>
        <v>491</v>
      </c>
    </row>
    <row r="415" spans="2:10" outlineLevel="2" x14ac:dyDescent="0.2">
      <c r="B415" s="724" t="s">
        <v>302</v>
      </c>
      <c r="C415" s="129">
        <f>+Supuestos!$D$14</f>
        <v>4.1000000000000002E-2</v>
      </c>
      <c r="D415" s="129">
        <f>+Supuestos!$E$14</f>
        <v>0.04</v>
      </c>
      <c r="E415" s="129">
        <f>+Supuestos!$F$14</f>
        <v>0.04</v>
      </c>
      <c r="F415" s="129">
        <f>+Supuestos!$G$14</f>
        <v>0.04</v>
      </c>
      <c r="G415" s="129">
        <f>+Supuestos!$H$14</f>
        <v>0.04</v>
      </c>
      <c r="H415" s="129">
        <f>+Supuestos!$I$14</f>
        <v>0.04</v>
      </c>
    </row>
    <row r="416" spans="2:10" outlineLevel="2" x14ac:dyDescent="0.2">
      <c r="B416" s="724" t="s">
        <v>303</v>
      </c>
      <c r="C416" s="79"/>
      <c r="D416" s="275"/>
      <c r="E416" s="275"/>
      <c r="F416" s="275"/>
      <c r="G416" s="275"/>
      <c r="H416" s="275"/>
    </row>
    <row r="417" spans="2:8" outlineLevel="2" x14ac:dyDescent="0.2">
      <c r="B417" s="722" t="s">
        <v>249</v>
      </c>
      <c r="C417" s="79">
        <f>+O40</f>
        <v>6156</v>
      </c>
      <c r="D417" s="79">
        <f>+C417*(1+D419)*(1+C418)</f>
        <v>6359.1479999999992</v>
      </c>
      <c r="E417" s="79">
        <f>+D417*(1+E419)*(1+D418)</f>
        <v>6588.0773279999994</v>
      </c>
      <c r="F417" s="79">
        <f>+E417*(1+F419)*(1+E418)</f>
        <v>6864.7765757759998</v>
      </c>
      <c r="G417" s="79">
        <f>+F417*(1+G419)*(1+F418)</f>
        <v>7194.2858514132486</v>
      </c>
      <c r="H417" s="79">
        <f>+G417*(1+H419)*(1+G418)</f>
        <v>7582.7772873895647</v>
      </c>
    </row>
    <row r="418" spans="2:8" outlineLevel="2" x14ac:dyDescent="0.2">
      <c r="B418" s="724" t="s">
        <v>304</v>
      </c>
      <c r="C418" s="129">
        <f>+Supuestos!$D$13</f>
        <v>3.3000000000000002E-2</v>
      </c>
      <c r="D418" s="129">
        <f>+Supuestos!$E$13</f>
        <v>3.5999999999999997E-2</v>
      </c>
      <c r="E418" s="129">
        <f>+Supuestos!$F$13</f>
        <v>4.2000000000000003E-2</v>
      </c>
      <c r="F418" s="129">
        <f>+Supuestos!$G$13</f>
        <v>4.8000000000000001E-2</v>
      </c>
      <c r="G418" s="129">
        <f>+Supuestos!$H$13</f>
        <v>5.3999999999999999E-2</v>
      </c>
      <c r="H418" s="129">
        <f>+Supuestos!$I$13</f>
        <v>0.06</v>
      </c>
    </row>
    <row r="419" spans="2:8" outlineLevel="2" x14ac:dyDescent="0.2">
      <c r="B419" s="724" t="s">
        <v>282</v>
      </c>
      <c r="C419" s="79"/>
      <c r="D419" s="275"/>
      <c r="E419" s="275"/>
      <c r="F419" s="275"/>
      <c r="G419" s="275"/>
      <c r="H419" s="275"/>
    </row>
    <row r="420" spans="2:8" ht="15" outlineLevel="2" x14ac:dyDescent="0.25">
      <c r="B420" s="725" t="s">
        <v>1</v>
      </c>
      <c r="C420" s="136">
        <f t="shared" ref="C420:H420" si="510">+C417*C414</f>
        <v>2502783.36</v>
      </c>
      <c r="D420" s="136">
        <f t="shared" si="510"/>
        <v>2683560.4559999998</v>
      </c>
      <c r="E420" s="136">
        <f t="shared" si="510"/>
        <v>2885577.8696639999</v>
      </c>
      <c r="F420" s="136">
        <f t="shared" si="510"/>
        <v>3123473.3419780801</v>
      </c>
      <c r="G420" s="136">
        <f t="shared" si="510"/>
        <v>3402897.2077184664</v>
      </c>
      <c r="H420" s="136">
        <f t="shared" si="510"/>
        <v>3723143.6481082761</v>
      </c>
    </row>
    <row r="421" spans="2:8" ht="15" outlineLevel="1" x14ac:dyDescent="0.25">
      <c r="B421" s="723" t="str">
        <f>+B44</f>
        <v>Ajo importado</v>
      </c>
      <c r="C421" s="128"/>
      <c r="D421" s="84"/>
      <c r="E421" s="84"/>
      <c r="F421" s="84"/>
      <c r="G421" s="84"/>
      <c r="H421" s="84"/>
    </row>
    <row r="422" spans="2:8" outlineLevel="2" x14ac:dyDescent="0.2">
      <c r="B422" s="721" t="s">
        <v>425</v>
      </c>
      <c r="C422" s="79">
        <f>+O45</f>
        <v>383.28000000000003</v>
      </c>
      <c r="D422" s="79">
        <f>ROUNDDOWN(C422*(1+D424)*(1+D423),0)</f>
        <v>398</v>
      </c>
      <c r="E422" s="79">
        <f>ROUNDDOWN(D422*(1+E424)*(1+E423),0)</f>
        <v>413</v>
      </c>
      <c r="F422" s="79">
        <f>ROUNDDOWN(E422*(1+F424)*(1+F423),0)</f>
        <v>429</v>
      </c>
      <c r="G422" s="79">
        <f>ROUNDDOWN(F422*(1+G424)*(1+G423),0)</f>
        <v>446</v>
      </c>
      <c r="H422" s="79">
        <f>ROUNDDOWN(G422*(1+H424)*(1+H423),0)</f>
        <v>463</v>
      </c>
    </row>
    <row r="423" spans="2:8" outlineLevel="2" x14ac:dyDescent="0.2">
      <c r="B423" s="724" t="s">
        <v>302</v>
      </c>
      <c r="C423" s="129">
        <f>+Supuestos!$D$14</f>
        <v>4.1000000000000002E-2</v>
      </c>
      <c r="D423" s="129">
        <f>+Supuestos!$E$14</f>
        <v>0.04</v>
      </c>
      <c r="E423" s="129">
        <f>+Supuestos!$F$14</f>
        <v>0.04</v>
      </c>
      <c r="F423" s="129">
        <f>+Supuestos!$G$14</f>
        <v>0.04</v>
      </c>
      <c r="G423" s="129">
        <f>+Supuestos!$H$14</f>
        <v>0.04</v>
      </c>
      <c r="H423" s="129">
        <f>+Supuestos!$I$14</f>
        <v>0.04</v>
      </c>
    </row>
    <row r="424" spans="2:8" outlineLevel="2" x14ac:dyDescent="0.2">
      <c r="B424" s="724" t="s">
        <v>303</v>
      </c>
      <c r="C424" s="79"/>
      <c r="D424" s="275"/>
      <c r="E424" s="275"/>
      <c r="F424" s="275"/>
      <c r="G424" s="275"/>
      <c r="H424" s="275"/>
    </row>
    <row r="425" spans="2:8" outlineLevel="2" x14ac:dyDescent="0.2">
      <c r="B425" s="722" t="s">
        <v>249</v>
      </c>
      <c r="C425" s="79">
        <f>O48</f>
        <v>7010.66</v>
      </c>
      <c r="D425" s="79">
        <f>+C425*(1+D427)*(1+C426)</f>
        <v>7242.0117799999989</v>
      </c>
      <c r="E425" s="79">
        <f>+D425*(1+E427)*(1+D426)</f>
        <v>7502.7242040799993</v>
      </c>
      <c r="F425" s="79">
        <f>+E425*(1+F427)*(1+E426)</f>
        <v>7817.8386206513596</v>
      </c>
      <c r="G425" s="79">
        <f>+F425*(1+G427)*(1+F426)</f>
        <v>8193.094874442626</v>
      </c>
      <c r="H425" s="79">
        <f>+G425*(1+H427)*(1+G426)</f>
        <v>8635.5219976625285</v>
      </c>
    </row>
    <row r="426" spans="2:8" outlineLevel="2" x14ac:dyDescent="0.2">
      <c r="B426" s="724" t="s">
        <v>304</v>
      </c>
      <c r="C426" s="129">
        <f>+Supuestos!$D$13</f>
        <v>3.3000000000000002E-2</v>
      </c>
      <c r="D426" s="129">
        <f>+Supuestos!$E$13</f>
        <v>3.5999999999999997E-2</v>
      </c>
      <c r="E426" s="129">
        <f>+Supuestos!$F$13</f>
        <v>4.2000000000000003E-2</v>
      </c>
      <c r="F426" s="129">
        <f>+Supuestos!$G$13</f>
        <v>4.8000000000000001E-2</v>
      </c>
      <c r="G426" s="129">
        <f>+Supuestos!$H$13</f>
        <v>5.3999999999999999E-2</v>
      </c>
      <c r="H426" s="129">
        <f>+Supuestos!$I$13</f>
        <v>0.06</v>
      </c>
    </row>
    <row r="427" spans="2:8" outlineLevel="2" x14ac:dyDescent="0.2">
      <c r="B427" s="724" t="s">
        <v>282</v>
      </c>
      <c r="C427" s="79"/>
      <c r="D427" s="275"/>
      <c r="E427" s="275"/>
      <c r="F427" s="275"/>
      <c r="G427" s="275"/>
      <c r="H427" s="275"/>
    </row>
    <row r="428" spans="2:8" ht="15" outlineLevel="2" x14ac:dyDescent="0.25">
      <c r="B428" s="725" t="s">
        <v>1</v>
      </c>
      <c r="C428" s="136">
        <f t="shared" ref="C428:H428" si="511">+C425*C422</f>
        <v>2687045.7648</v>
      </c>
      <c r="D428" s="136">
        <f t="shared" si="511"/>
        <v>2882320.6884399997</v>
      </c>
      <c r="E428" s="136">
        <f t="shared" si="511"/>
        <v>3098625.0962850396</v>
      </c>
      <c r="F428" s="136">
        <f t="shared" si="511"/>
        <v>3353852.7682594331</v>
      </c>
      <c r="G428" s="136">
        <f t="shared" si="511"/>
        <v>3654120.3140014112</v>
      </c>
      <c r="H428" s="136">
        <f t="shared" si="511"/>
        <v>3998246.6849177508</v>
      </c>
    </row>
    <row r="429" spans="2:8" ht="15" outlineLevel="1" x14ac:dyDescent="0.25">
      <c r="B429" s="723" t="str">
        <f>+B52</f>
        <v>Apio</v>
      </c>
      <c r="C429" s="128"/>
      <c r="D429" s="84"/>
      <c r="E429" s="84"/>
      <c r="F429" s="84"/>
      <c r="G429" s="84"/>
      <c r="H429" s="84"/>
    </row>
    <row r="430" spans="2:8" outlineLevel="2" x14ac:dyDescent="0.2">
      <c r="B430" s="721" t="s">
        <v>425</v>
      </c>
      <c r="C430" s="79">
        <f>+O53</f>
        <v>1568.0400000000002</v>
      </c>
      <c r="D430" s="79">
        <f>ROUNDDOWN(C430*(1+D432)*(1+D431),0)</f>
        <v>1630</v>
      </c>
      <c r="E430" s="79">
        <f>ROUNDDOWN(D430*(1+E432)*(1+E431),0)</f>
        <v>1695</v>
      </c>
      <c r="F430" s="79">
        <f>ROUNDDOWN(E430*(1+F432)*(1+F431),0)</f>
        <v>1762</v>
      </c>
      <c r="G430" s="79">
        <f>ROUNDDOWN(F430*(1+G432)*(1+G431),0)</f>
        <v>1832</v>
      </c>
      <c r="H430" s="79">
        <f>ROUNDDOWN(G430*(1+H432)*(1+H431),0)</f>
        <v>1905</v>
      </c>
    </row>
    <row r="431" spans="2:8" outlineLevel="2" x14ac:dyDescent="0.2">
      <c r="B431" s="724" t="s">
        <v>302</v>
      </c>
      <c r="C431" s="129">
        <f>+Supuestos!$D$14</f>
        <v>4.1000000000000002E-2</v>
      </c>
      <c r="D431" s="129">
        <f>+Supuestos!$E$14</f>
        <v>0.04</v>
      </c>
      <c r="E431" s="129">
        <f>+Supuestos!$F$14</f>
        <v>0.04</v>
      </c>
      <c r="F431" s="129">
        <f>+Supuestos!$G$14</f>
        <v>0.04</v>
      </c>
      <c r="G431" s="129">
        <f>+Supuestos!$H$14</f>
        <v>0.04</v>
      </c>
      <c r="H431" s="129">
        <f>+Supuestos!$I$14</f>
        <v>0.04</v>
      </c>
    </row>
    <row r="432" spans="2:8" outlineLevel="2" x14ac:dyDescent="0.2">
      <c r="B432" s="724" t="s">
        <v>303</v>
      </c>
      <c r="C432" s="79"/>
      <c r="D432" s="275"/>
      <c r="E432" s="275"/>
      <c r="F432" s="275"/>
      <c r="G432" s="275"/>
      <c r="H432" s="275"/>
    </row>
    <row r="433" spans="2:8" outlineLevel="2" x14ac:dyDescent="0.2">
      <c r="B433" s="722" t="s">
        <v>249</v>
      </c>
      <c r="C433" s="79">
        <f>O56</f>
        <v>889.54</v>
      </c>
      <c r="D433" s="79">
        <f>+C433*(1+D435)*(1+C434)</f>
        <v>918.89481999999987</v>
      </c>
      <c r="E433" s="79">
        <f>+D433*(1+E435)*(1+D434)</f>
        <v>951.9750335199999</v>
      </c>
      <c r="F433" s="79">
        <f>+E433*(1+F435)*(1+E434)</f>
        <v>991.9579849278399</v>
      </c>
      <c r="G433" s="79">
        <f>+F433*(1+G435)*(1+F434)</f>
        <v>1039.5719682043762</v>
      </c>
      <c r="H433" s="79">
        <f>+G433*(1+H435)*(1+G434)</f>
        <v>1095.7088544874125</v>
      </c>
    </row>
    <row r="434" spans="2:8" outlineLevel="2" x14ac:dyDescent="0.2">
      <c r="B434" s="724" t="s">
        <v>304</v>
      </c>
      <c r="C434" s="129">
        <f>+Supuestos!$D$13</f>
        <v>3.3000000000000002E-2</v>
      </c>
      <c r="D434" s="129">
        <f>+Supuestos!$E$13</f>
        <v>3.5999999999999997E-2</v>
      </c>
      <c r="E434" s="129">
        <f>+Supuestos!$F$13</f>
        <v>4.2000000000000003E-2</v>
      </c>
      <c r="F434" s="129">
        <f>+Supuestos!$G$13</f>
        <v>4.8000000000000001E-2</v>
      </c>
      <c r="G434" s="129">
        <f>+Supuestos!$H$13</f>
        <v>5.3999999999999999E-2</v>
      </c>
      <c r="H434" s="129">
        <f>+Supuestos!$I$13</f>
        <v>0.06</v>
      </c>
    </row>
    <row r="435" spans="2:8" outlineLevel="2" x14ac:dyDescent="0.2">
      <c r="B435" s="724" t="s">
        <v>282</v>
      </c>
      <c r="C435" s="79"/>
      <c r="D435" s="275"/>
      <c r="E435" s="275"/>
      <c r="F435" s="275"/>
      <c r="G435" s="275"/>
      <c r="H435" s="275"/>
    </row>
    <row r="436" spans="2:8" ht="15" outlineLevel="2" x14ac:dyDescent="0.25">
      <c r="B436" s="725" t="s">
        <v>1</v>
      </c>
      <c r="C436" s="136">
        <f t="shared" ref="C436:H436" si="512">+C433*C430</f>
        <v>1394834.3016000001</v>
      </c>
      <c r="D436" s="136">
        <f t="shared" si="512"/>
        <v>1497798.5565999998</v>
      </c>
      <c r="E436" s="136">
        <f t="shared" si="512"/>
        <v>1613597.6818163998</v>
      </c>
      <c r="F436" s="136">
        <f t="shared" si="512"/>
        <v>1747829.9694428539</v>
      </c>
      <c r="G436" s="136">
        <f t="shared" si="512"/>
        <v>1904495.8457504171</v>
      </c>
      <c r="H436" s="136">
        <f t="shared" si="512"/>
        <v>2087325.3677985207</v>
      </c>
    </row>
    <row r="437" spans="2:8" ht="15" outlineLevel="1" x14ac:dyDescent="0.25">
      <c r="B437" s="723" t="str">
        <f>+B60</f>
        <v>Arveja Verde</v>
      </c>
      <c r="C437" s="128"/>
      <c r="D437" s="84"/>
      <c r="E437" s="84"/>
      <c r="F437" s="84"/>
      <c r="G437" s="84"/>
      <c r="H437" s="84"/>
    </row>
    <row r="438" spans="2:8" outlineLevel="2" x14ac:dyDescent="0.2">
      <c r="B438" s="724" t="s">
        <v>283</v>
      </c>
      <c r="C438" s="82">
        <f>+O61</f>
        <v>7840.2000000000016</v>
      </c>
      <c r="D438" s="79">
        <f>ROUNDDOWN(C438*(1+D440)*(1+D439),0)</f>
        <v>8153</v>
      </c>
      <c r="E438" s="79">
        <f>ROUNDDOWN(D438*(1+E440)*(1+E439),0)</f>
        <v>8479</v>
      </c>
      <c r="F438" s="79">
        <f>ROUNDDOWN(E438*(1+F440)*(1+F439),0)</f>
        <v>8818</v>
      </c>
      <c r="G438" s="79">
        <f>ROUNDDOWN(F438*(1+G440)*(1+G439),0)</f>
        <v>9170</v>
      </c>
      <c r="H438" s="79">
        <f>ROUNDDOWN(G438*(1+H440)*(1+H439),0)</f>
        <v>9536</v>
      </c>
    </row>
    <row r="439" spans="2:8" outlineLevel="2" x14ac:dyDescent="0.2">
      <c r="B439" s="724" t="s">
        <v>302</v>
      </c>
      <c r="C439" s="129">
        <f>+Supuestos!$D$14</f>
        <v>4.1000000000000002E-2</v>
      </c>
      <c r="D439" s="129">
        <f>+Supuestos!$E$14</f>
        <v>0.04</v>
      </c>
      <c r="E439" s="129">
        <f>+Supuestos!$F$14</f>
        <v>0.04</v>
      </c>
      <c r="F439" s="129">
        <f>+Supuestos!$G$14</f>
        <v>0.04</v>
      </c>
      <c r="G439" s="129">
        <f>+Supuestos!$H$14</f>
        <v>0.04</v>
      </c>
      <c r="H439" s="129">
        <f>+Supuestos!$I$14</f>
        <v>0.04</v>
      </c>
    </row>
    <row r="440" spans="2:8" outlineLevel="2" x14ac:dyDescent="0.2">
      <c r="B440" s="724" t="s">
        <v>303</v>
      </c>
      <c r="C440" s="79"/>
      <c r="D440" s="275"/>
      <c r="E440" s="275"/>
      <c r="F440" s="275"/>
      <c r="G440" s="275"/>
      <c r="H440" s="275"/>
    </row>
    <row r="441" spans="2:8" outlineLevel="2" x14ac:dyDescent="0.2">
      <c r="B441" s="722" t="s">
        <v>249</v>
      </c>
      <c r="C441" s="79">
        <f>+O64</f>
        <v>5130</v>
      </c>
      <c r="D441" s="79">
        <f>+C441*(1+D443)*(1+C442)</f>
        <v>5299.29</v>
      </c>
      <c r="E441" s="79">
        <f>+D441*(1+E443)*(1+D442)</f>
        <v>5490.0644400000001</v>
      </c>
      <c r="F441" s="79">
        <f>+E441*(1+F443)*(1+E442)</f>
        <v>5720.6471464800006</v>
      </c>
      <c r="G441" s="79">
        <f>+F441*(1+G443)*(1+F442)</f>
        <v>5995.2382095110406</v>
      </c>
      <c r="H441" s="79">
        <f>+G441*(1+H443)*(1+G442)</f>
        <v>6318.9810728246375</v>
      </c>
    </row>
    <row r="442" spans="2:8" outlineLevel="2" x14ac:dyDescent="0.2">
      <c r="B442" s="724" t="s">
        <v>304</v>
      </c>
      <c r="C442" s="129">
        <f>+Supuestos!$D$13</f>
        <v>3.3000000000000002E-2</v>
      </c>
      <c r="D442" s="129">
        <f>+Supuestos!$E$13</f>
        <v>3.5999999999999997E-2</v>
      </c>
      <c r="E442" s="129">
        <f>+Supuestos!$F$13</f>
        <v>4.2000000000000003E-2</v>
      </c>
      <c r="F442" s="129">
        <f>+Supuestos!$G$13</f>
        <v>4.8000000000000001E-2</v>
      </c>
      <c r="G442" s="129">
        <f>+Supuestos!$H$13</f>
        <v>5.3999999999999999E-2</v>
      </c>
      <c r="H442" s="129">
        <f>+Supuestos!$I$13</f>
        <v>0.06</v>
      </c>
    </row>
    <row r="443" spans="2:8" outlineLevel="2" x14ac:dyDescent="0.2">
      <c r="B443" s="724" t="s">
        <v>282</v>
      </c>
      <c r="C443" s="79"/>
      <c r="D443" s="275">
        <v>0</v>
      </c>
      <c r="E443" s="275">
        <v>0</v>
      </c>
      <c r="F443" s="275">
        <v>0</v>
      </c>
      <c r="G443" s="275">
        <v>0</v>
      </c>
      <c r="H443" s="275">
        <v>0</v>
      </c>
    </row>
    <row r="444" spans="2:8" ht="15" outlineLevel="2" x14ac:dyDescent="0.25">
      <c r="B444" s="725" t="s">
        <v>1</v>
      </c>
      <c r="C444" s="136">
        <f t="shared" ref="C444:H444" si="513">+C441*C438</f>
        <v>40220226.000000007</v>
      </c>
      <c r="D444" s="136">
        <f t="shared" si="513"/>
        <v>43205111.369999997</v>
      </c>
      <c r="E444" s="136">
        <f t="shared" si="513"/>
        <v>46550256.386760004</v>
      </c>
      <c r="F444" s="136">
        <f t="shared" si="513"/>
        <v>50444666.537660643</v>
      </c>
      <c r="G444" s="136">
        <f t="shared" si="513"/>
        <v>54976334.381216243</v>
      </c>
      <c r="H444" s="136">
        <f t="shared" si="513"/>
        <v>60257803.510455742</v>
      </c>
    </row>
    <row r="445" spans="2:8" ht="15" outlineLevel="1" x14ac:dyDescent="0.25">
      <c r="B445" s="723" t="str">
        <f>+B68</f>
        <v>Brócoli</v>
      </c>
      <c r="C445" s="128"/>
      <c r="D445" s="84"/>
      <c r="E445" s="84"/>
      <c r="F445" s="84"/>
      <c r="G445" s="84"/>
      <c r="H445" s="84"/>
    </row>
    <row r="446" spans="2:8" outlineLevel="2" x14ac:dyDescent="0.2">
      <c r="B446" s="724" t="s">
        <v>283</v>
      </c>
      <c r="C446" s="79">
        <f>+O69</f>
        <v>217.80000000000004</v>
      </c>
      <c r="D446" s="79">
        <f>ROUNDDOWN(C446*(1+D448)*(1+D447),0)</f>
        <v>226</v>
      </c>
      <c r="E446" s="79">
        <f>ROUNDDOWN(D446*(1+E448)*(1+E447),0)</f>
        <v>235</v>
      </c>
      <c r="F446" s="79">
        <f>ROUNDDOWN(E446*(1+F448)*(1+F447),0)</f>
        <v>244</v>
      </c>
      <c r="G446" s="79">
        <f>ROUNDDOWN(F446*(1+G448)*(1+G447),0)</f>
        <v>253</v>
      </c>
      <c r="H446" s="79">
        <f>ROUNDDOWN(G446*(1+H448)*(1+H447),0)</f>
        <v>263</v>
      </c>
    </row>
    <row r="447" spans="2:8" outlineLevel="2" x14ac:dyDescent="0.2">
      <c r="B447" s="724" t="s">
        <v>302</v>
      </c>
      <c r="C447" s="129">
        <f>+Supuestos!$D$14</f>
        <v>4.1000000000000002E-2</v>
      </c>
      <c r="D447" s="129">
        <f>+Supuestos!$E$14</f>
        <v>0.04</v>
      </c>
      <c r="E447" s="129">
        <f>+Supuestos!$F$14</f>
        <v>0.04</v>
      </c>
      <c r="F447" s="129">
        <f>+Supuestos!$G$14</f>
        <v>0.04</v>
      </c>
      <c r="G447" s="129">
        <f>+Supuestos!$H$14</f>
        <v>0.04</v>
      </c>
      <c r="H447" s="129">
        <f>+Supuestos!$I$14</f>
        <v>0.04</v>
      </c>
    </row>
    <row r="448" spans="2:8" outlineLevel="2" x14ac:dyDescent="0.2">
      <c r="B448" s="724" t="s">
        <v>303</v>
      </c>
      <c r="C448" s="79"/>
      <c r="D448" s="275">
        <v>0</v>
      </c>
      <c r="E448" s="275">
        <v>0</v>
      </c>
      <c r="F448" s="275">
        <v>0</v>
      </c>
      <c r="G448" s="275">
        <v>0</v>
      </c>
      <c r="H448" s="275">
        <v>0</v>
      </c>
    </row>
    <row r="449" spans="2:8" outlineLevel="2" x14ac:dyDescent="0.2">
      <c r="B449" s="722" t="s">
        <v>249</v>
      </c>
      <c r="C449" s="79">
        <f>+O72</f>
        <v>1607.64</v>
      </c>
      <c r="D449" s="79">
        <f>+C449*(1+D451)*(1+C450)</f>
        <v>1660.6921199999999</v>
      </c>
      <c r="E449" s="79">
        <f>+D449*(1+E451)*(1+D450)</f>
        <v>1720.47703632</v>
      </c>
      <c r="F449" s="79">
        <f>+E449*(1+F451)*(1+E450)</f>
        <v>1792.7370718454401</v>
      </c>
      <c r="G449" s="79">
        <f>+F449*(1+G451)*(1+F450)</f>
        <v>1878.7884512940213</v>
      </c>
      <c r="H449" s="79">
        <f>+G449*(1+H451)*(1+G450)</f>
        <v>1980.2430276638986</v>
      </c>
    </row>
    <row r="450" spans="2:8" outlineLevel="2" x14ac:dyDescent="0.2">
      <c r="B450" s="724" t="s">
        <v>304</v>
      </c>
      <c r="C450" s="129">
        <f>+Supuestos!$D$13</f>
        <v>3.3000000000000002E-2</v>
      </c>
      <c r="D450" s="129">
        <f>+Supuestos!$E$13</f>
        <v>3.5999999999999997E-2</v>
      </c>
      <c r="E450" s="129">
        <f>+Supuestos!$F$13</f>
        <v>4.2000000000000003E-2</v>
      </c>
      <c r="F450" s="129">
        <f>+Supuestos!$G$13</f>
        <v>4.8000000000000001E-2</v>
      </c>
      <c r="G450" s="129">
        <f>+Supuestos!$H$13</f>
        <v>5.3999999999999999E-2</v>
      </c>
      <c r="H450" s="129">
        <f>+Supuestos!$I$13</f>
        <v>0.06</v>
      </c>
    </row>
    <row r="451" spans="2:8" outlineLevel="2" x14ac:dyDescent="0.2">
      <c r="B451" s="724" t="s">
        <v>282</v>
      </c>
      <c r="C451" s="79"/>
      <c r="D451" s="275">
        <v>0</v>
      </c>
      <c r="E451" s="275">
        <v>0</v>
      </c>
      <c r="F451" s="275">
        <v>0</v>
      </c>
      <c r="G451" s="275">
        <v>0</v>
      </c>
      <c r="H451" s="275">
        <v>0</v>
      </c>
    </row>
    <row r="452" spans="2:8" ht="15" outlineLevel="2" x14ac:dyDescent="0.25">
      <c r="B452" s="725" t="s">
        <v>1</v>
      </c>
      <c r="C452" s="136">
        <f t="shared" ref="C452:H452" si="514">+C449*C446</f>
        <v>350143.99200000009</v>
      </c>
      <c r="D452" s="136">
        <f t="shared" si="514"/>
        <v>375316.41911999998</v>
      </c>
      <c r="E452" s="136">
        <f t="shared" si="514"/>
        <v>404312.1035352</v>
      </c>
      <c r="F452" s="136">
        <f t="shared" si="514"/>
        <v>437427.84553028742</v>
      </c>
      <c r="G452" s="136">
        <f t="shared" si="514"/>
        <v>475333.47817738738</v>
      </c>
      <c r="H452" s="136">
        <f t="shared" si="514"/>
        <v>520803.91627560533</v>
      </c>
    </row>
    <row r="453" spans="2:8" ht="15" outlineLevel="1" x14ac:dyDescent="0.25">
      <c r="B453" s="723" t="str">
        <f>+B76</f>
        <v>Cebolla Blanca</v>
      </c>
      <c r="C453" s="128"/>
      <c r="D453" s="84"/>
      <c r="E453" s="84"/>
      <c r="F453" s="84"/>
      <c r="G453" s="84"/>
      <c r="H453" s="84"/>
    </row>
    <row r="454" spans="2:8" outlineLevel="2" x14ac:dyDescent="0.2">
      <c r="B454" s="724" t="s">
        <v>283</v>
      </c>
      <c r="C454" s="79">
        <f>+O77</f>
        <v>7578.96</v>
      </c>
      <c r="D454" s="79">
        <f>ROUNDDOWN(C454*(1+D456)*(1+D455),0)</f>
        <v>7882</v>
      </c>
      <c r="E454" s="79">
        <f>ROUNDDOWN(D454*(1+E456)*(1+E455),0)</f>
        <v>8197</v>
      </c>
      <c r="F454" s="79">
        <f>ROUNDDOWN(E454*(1+F456)*(1+F455),0)</f>
        <v>8524</v>
      </c>
      <c r="G454" s="79">
        <f>ROUNDDOWN(F454*(1+G456)*(1+G455),0)</f>
        <v>8864</v>
      </c>
      <c r="H454" s="79">
        <f>ROUNDDOWN(G454*(1+H456)*(1+H455),0)</f>
        <v>9218</v>
      </c>
    </row>
    <row r="455" spans="2:8" outlineLevel="2" x14ac:dyDescent="0.2">
      <c r="B455" s="724" t="s">
        <v>302</v>
      </c>
      <c r="C455" s="129">
        <f>+Supuestos!$D$14</f>
        <v>4.1000000000000002E-2</v>
      </c>
      <c r="D455" s="129">
        <f>+Supuestos!$E$14</f>
        <v>0.04</v>
      </c>
      <c r="E455" s="129">
        <f>+Supuestos!$F$14</f>
        <v>0.04</v>
      </c>
      <c r="F455" s="129">
        <f>+Supuestos!$G$14</f>
        <v>0.04</v>
      </c>
      <c r="G455" s="129">
        <f>+Supuestos!$H$14</f>
        <v>0.04</v>
      </c>
      <c r="H455" s="129">
        <f>+Supuestos!$I$14</f>
        <v>0.04</v>
      </c>
    </row>
    <row r="456" spans="2:8" outlineLevel="2" x14ac:dyDescent="0.2">
      <c r="B456" s="724" t="s">
        <v>303</v>
      </c>
      <c r="C456" s="79"/>
      <c r="D456" s="275">
        <v>0</v>
      </c>
      <c r="E456" s="275">
        <v>0</v>
      </c>
      <c r="F456" s="275">
        <v>0</v>
      </c>
      <c r="G456" s="275">
        <v>0</v>
      </c>
      <c r="H456" s="275">
        <v>0</v>
      </c>
    </row>
    <row r="457" spans="2:8" outlineLevel="2" x14ac:dyDescent="0.2">
      <c r="B457" s="722" t="s">
        <v>249</v>
      </c>
      <c r="C457" s="79">
        <f>+O80</f>
        <v>2565</v>
      </c>
      <c r="D457" s="79">
        <f>+C457*(1+D459)*(1+C458)</f>
        <v>2649.645</v>
      </c>
      <c r="E457" s="79">
        <f>+D457*(1+E459)*(1+D458)</f>
        <v>2745.0322200000001</v>
      </c>
      <c r="F457" s="79">
        <f>+E457*(1+F459)*(1+E458)</f>
        <v>2860.3235732400003</v>
      </c>
      <c r="G457" s="79">
        <f>+F457*(1+G459)*(1+F458)</f>
        <v>2997.6191047555203</v>
      </c>
      <c r="H457" s="79">
        <f>+G457*(1+H459)*(1+G458)</f>
        <v>3159.4905364123188</v>
      </c>
    </row>
    <row r="458" spans="2:8" outlineLevel="2" x14ac:dyDescent="0.2">
      <c r="B458" s="724" t="s">
        <v>304</v>
      </c>
      <c r="C458" s="129">
        <f>+Supuestos!$D$13</f>
        <v>3.3000000000000002E-2</v>
      </c>
      <c r="D458" s="129">
        <f>+Supuestos!$E$13</f>
        <v>3.5999999999999997E-2</v>
      </c>
      <c r="E458" s="129">
        <f>+Supuestos!$F$13</f>
        <v>4.2000000000000003E-2</v>
      </c>
      <c r="F458" s="129">
        <f>+Supuestos!$G$13</f>
        <v>4.8000000000000001E-2</v>
      </c>
      <c r="G458" s="129">
        <f>+Supuestos!$H$13</f>
        <v>5.3999999999999999E-2</v>
      </c>
      <c r="H458" s="129">
        <f>+Supuestos!$I$13</f>
        <v>0.06</v>
      </c>
    </row>
    <row r="459" spans="2:8" outlineLevel="2" x14ac:dyDescent="0.2">
      <c r="B459" s="724" t="s">
        <v>282</v>
      </c>
      <c r="C459" s="79"/>
      <c r="D459" s="275">
        <v>0</v>
      </c>
      <c r="E459" s="275">
        <v>0</v>
      </c>
      <c r="F459" s="275">
        <v>0</v>
      </c>
      <c r="G459" s="275">
        <v>0</v>
      </c>
      <c r="H459" s="275">
        <v>0</v>
      </c>
    </row>
    <row r="460" spans="2:8" ht="15" outlineLevel="2" x14ac:dyDescent="0.25">
      <c r="B460" s="725" t="s">
        <v>1</v>
      </c>
      <c r="C460" s="136">
        <f t="shared" ref="C460:H460" si="515">+C457*C454</f>
        <v>19440032.399999999</v>
      </c>
      <c r="D460" s="136">
        <f t="shared" si="515"/>
        <v>20884501.890000001</v>
      </c>
      <c r="E460" s="136">
        <f t="shared" si="515"/>
        <v>22501029.107340001</v>
      </c>
      <c r="F460" s="136">
        <f t="shared" si="515"/>
        <v>24381398.138297763</v>
      </c>
      <c r="G460" s="136">
        <f t="shared" si="515"/>
        <v>26570895.744552933</v>
      </c>
      <c r="H460" s="136">
        <f t="shared" si="515"/>
        <v>29124183.764648754</v>
      </c>
    </row>
    <row r="461" spans="2:8" ht="15" outlineLevel="1" x14ac:dyDescent="0.25">
      <c r="B461" s="723" t="str">
        <f>+B84</f>
        <v>Cebolla Junca</v>
      </c>
      <c r="C461" s="128"/>
      <c r="D461" s="84"/>
      <c r="E461" s="84"/>
      <c r="F461" s="84"/>
      <c r="G461" s="84"/>
      <c r="H461" s="84"/>
    </row>
    <row r="462" spans="2:8" outlineLevel="2" x14ac:dyDescent="0.2">
      <c r="B462" s="724" t="s">
        <v>283</v>
      </c>
      <c r="C462" s="79">
        <f>+O85</f>
        <v>10803.839999999998</v>
      </c>
      <c r="D462" s="79">
        <f>ROUNDDOWN(C462*(1+D464)*(1+D463),0)</f>
        <v>11235</v>
      </c>
      <c r="E462" s="79">
        <f>ROUNDDOWN(D462*(1+E464)*(1+E463),0)</f>
        <v>11684</v>
      </c>
      <c r="F462" s="79">
        <f>ROUNDDOWN(E462*(1+F464)*(1+F463),0)</f>
        <v>12151</v>
      </c>
      <c r="G462" s="79">
        <f>ROUNDDOWN(F462*(1+G464)*(1+G463),0)</f>
        <v>12637</v>
      </c>
      <c r="H462" s="79">
        <f>ROUNDDOWN(G462*(1+H464)*(1+H463),0)</f>
        <v>13142</v>
      </c>
    </row>
    <row r="463" spans="2:8" outlineLevel="2" x14ac:dyDescent="0.2">
      <c r="B463" s="724" t="s">
        <v>302</v>
      </c>
      <c r="C463" s="129">
        <f>+Supuestos!$D$14</f>
        <v>4.1000000000000002E-2</v>
      </c>
      <c r="D463" s="129">
        <f>+Supuestos!$E$14</f>
        <v>0.04</v>
      </c>
      <c r="E463" s="129">
        <f>+Supuestos!$F$14</f>
        <v>0.04</v>
      </c>
      <c r="F463" s="129">
        <f>+Supuestos!$G$14</f>
        <v>0.04</v>
      </c>
      <c r="G463" s="129">
        <f>+Supuestos!$H$14</f>
        <v>0.04</v>
      </c>
      <c r="H463" s="129">
        <f>+Supuestos!$I$14</f>
        <v>0.04</v>
      </c>
    </row>
    <row r="464" spans="2:8" outlineLevel="2" x14ac:dyDescent="0.2">
      <c r="B464" s="724" t="s">
        <v>303</v>
      </c>
      <c r="C464" s="79"/>
      <c r="D464" s="275">
        <v>0</v>
      </c>
      <c r="E464" s="275">
        <v>0</v>
      </c>
      <c r="F464" s="275">
        <v>0</v>
      </c>
      <c r="G464" s="275">
        <v>0</v>
      </c>
      <c r="H464" s="275">
        <v>0</v>
      </c>
    </row>
    <row r="465" spans="2:8" outlineLevel="2" x14ac:dyDescent="0.2">
      <c r="B465" s="722" t="s">
        <v>249</v>
      </c>
      <c r="C465" s="79">
        <f>+O88</f>
        <v>1333.8</v>
      </c>
      <c r="D465" s="79">
        <f>+C465*(1+D467)*(1+C466)</f>
        <v>1377.8154</v>
      </c>
      <c r="E465" s="79">
        <f>+D465*(1+E467)*(1+D466)</f>
        <v>1427.4167543999999</v>
      </c>
      <c r="F465" s="79">
        <f>+E465*(1+F467)*(1+E466)</f>
        <v>1487.3682580847999</v>
      </c>
      <c r="G465" s="79">
        <f>+F465*(1+G467)*(1+F466)</f>
        <v>1558.7619344728703</v>
      </c>
      <c r="H465" s="79">
        <f>+G465*(1+H467)*(1+G466)</f>
        <v>1642.9350789344053</v>
      </c>
    </row>
    <row r="466" spans="2:8" outlineLevel="2" x14ac:dyDescent="0.2">
      <c r="B466" s="724" t="s">
        <v>304</v>
      </c>
      <c r="C466" s="129">
        <f>+Supuestos!$D$13</f>
        <v>3.3000000000000002E-2</v>
      </c>
      <c r="D466" s="129">
        <f>+Supuestos!$E$13</f>
        <v>3.5999999999999997E-2</v>
      </c>
      <c r="E466" s="129">
        <f>+Supuestos!$F$13</f>
        <v>4.2000000000000003E-2</v>
      </c>
      <c r="F466" s="129">
        <f>+Supuestos!$G$13</f>
        <v>4.8000000000000001E-2</v>
      </c>
      <c r="G466" s="129">
        <f>+Supuestos!$H$13</f>
        <v>5.3999999999999999E-2</v>
      </c>
      <c r="H466" s="129">
        <f>+Supuestos!$I$13</f>
        <v>0.06</v>
      </c>
    </row>
    <row r="467" spans="2:8" outlineLevel="2" x14ac:dyDescent="0.2">
      <c r="B467" s="724" t="s">
        <v>282</v>
      </c>
      <c r="C467" s="79"/>
      <c r="D467" s="275">
        <v>0</v>
      </c>
      <c r="E467" s="275">
        <v>0</v>
      </c>
      <c r="F467" s="275">
        <v>0</v>
      </c>
      <c r="G467" s="275">
        <v>0</v>
      </c>
      <c r="H467" s="275">
        <v>0</v>
      </c>
    </row>
    <row r="468" spans="2:8" ht="15" outlineLevel="2" x14ac:dyDescent="0.25">
      <c r="B468" s="725" t="s">
        <v>1</v>
      </c>
      <c r="C468" s="136">
        <f t="shared" ref="C468:H468" si="516">+C465*C462</f>
        <v>14410161.791999998</v>
      </c>
      <c r="D468" s="136">
        <f t="shared" si="516"/>
        <v>15479756.018999999</v>
      </c>
      <c r="E468" s="136">
        <f t="shared" si="516"/>
        <v>16677937.358409598</v>
      </c>
      <c r="F468" s="136">
        <f t="shared" si="516"/>
        <v>18073011.703988403</v>
      </c>
      <c r="G468" s="136">
        <f t="shared" si="516"/>
        <v>19698074.565933663</v>
      </c>
      <c r="H468" s="136">
        <f t="shared" si="516"/>
        <v>21591452.807355955</v>
      </c>
    </row>
    <row r="469" spans="2:8" ht="15" outlineLevel="1" x14ac:dyDescent="0.25">
      <c r="B469" s="723" t="str">
        <f>+B92</f>
        <v>Cebolla roja</v>
      </c>
      <c r="C469" s="128"/>
      <c r="D469" s="84"/>
      <c r="E469" s="84"/>
      <c r="F469" s="84"/>
      <c r="G469" s="84"/>
      <c r="H469" s="84"/>
    </row>
    <row r="470" spans="2:8" outlineLevel="2" x14ac:dyDescent="0.2">
      <c r="B470" s="724" t="s">
        <v>283</v>
      </c>
      <c r="C470" s="79">
        <f>+O93</f>
        <v>5531.7599999999984</v>
      </c>
      <c r="D470" s="79">
        <f>ROUNDDOWN(C470*(1+D472)*(1+D471),0)</f>
        <v>5753</v>
      </c>
      <c r="E470" s="79">
        <f>ROUNDDOWN(D470*(1+E472)*(1+E471),0)</f>
        <v>5983</v>
      </c>
      <c r="F470" s="79">
        <f>ROUNDDOWN(E470*(1+F472)*(1+F471),0)</f>
        <v>6222</v>
      </c>
      <c r="G470" s="79">
        <f>ROUNDDOWN(F470*(1+G472)*(1+G471),0)</f>
        <v>6470</v>
      </c>
      <c r="H470" s="79">
        <f>ROUNDDOWN(G470*(1+H472)*(1+H471),0)</f>
        <v>6728</v>
      </c>
    </row>
    <row r="471" spans="2:8" outlineLevel="2" x14ac:dyDescent="0.2">
      <c r="B471" s="724" t="s">
        <v>302</v>
      </c>
      <c r="C471" s="129">
        <f>+Supuestos!$D$14</f>
        <v>4.1000000000000002E-2</v>
      </c>
      <c r="D471" s="129">
        <f>+Supuestos!$E$14</f>
        <v>0.04</v>
      </c>
      <c r="E471" s="129">
        <f>+Supuestos!$F$14</f>
        <v>0.04</v>
      </c>
      <c r="F471" s="129">
        <f>+Supuestos!$G$14</f>
        <v>0.04</v>
      </c>
      <c r="G471" s="129">
        <f>+Supuestos!$H$14</f>
        <v>0.04</v>
      </c>
      <c r="H471" s="129">
        <f>+Supuestos!$I$14</f>
        <v>0.04</v>
      </c>
    </row>
    <row r="472" spans="2:8" outlineLevel="2" x14ac:dyDescent="0.2">
      <c r="B472" s="724" t="s">
        <v>303</v>
      </c>
      <c r="C472" s="79"/>
      <c r="D472" s="275">
        <v>0</v>
      </c>
      <c r="E472" s="275">
        <v>0</v>
      </c>
      <c r="F472" s="275">
        <v>0</v>
      </c>
      <c r="G472" s="275">
        <v>0</v>
      </c>
      <c r="H472" s="275">
        <v>0</v>
      </c>
    </row>
    <row r="473" spans="2:8" outlineLevel="2" x14ac:dyDescent="0.2">
      <c r="B473" s="722" t="s">
        <v>249</v>
      </c>
      <c r="C473" s="79">
        <f>+O96</f>
        <v>2257.1999999999998</v>
      </c>
      <c r="D473" s="79">
        <f>+C473*(1+D475)*(1+C474)</f>
        <v>2331.6875999999997</v>
      </c>
      <c r="E473" s="79">
        <f>+D473*(1+E475)*(1+D474)</f>
        <v>2415.6283535999996</v>
      </c>
      <c r="F473" s="79">
        <f>+E473*(1+F475)*(1+E474)</f>
        <v>2517.0847444511996</v>
      </c>
      <c r="G473" s="79">
        <f>+F473*(1+G475)*(1+F474)</f>
        <v>2637.9048121848573</v>
      </c>
      <c r="H473" s="79">
        <f>+G473*(1+H475)*(1+G474)</f>
        <v>2780.3516720428397</v>
      </c>
    </row>
    <row r="474" spans="2:8" outlineLevel="2" x14ac:dyDescent="0.2">
      <c r="B474" s="724" t="s">
        <v>304</v>
      </c>
      <c r="C474" s="129">
        <f>+Supuestos!$D$13</f>
        <v>3.3000000000000002E-2</v>
      </c>
      <c r="D474" s="129">
        <f>+Supuestos!$E$13</f>
        <v>3.5999999999999997E-2</v>
      </c>
      <c r="E474" s="129">
        <f>+Supuestos!$F$13</f>
        <v>4.2000000000000003E-2</v>
      </c>
      <c r="F474" s="129">
        <f>+Supuestos!$G$13</f>
        <v>4.8000000000000001E-2</v>
      </c>
      <c r="G474" s="129">
        <f>+Supuestos!$H$13</f>
        <v>5.3999999999999999E-2</v>
      </c>
      <c r="H474" s="129">
        <f>+Supuestos!$I$13</f>
        <v>0.06</v>
      </c>
    </row>
    <row r="475" spans="2:8" outlineLevel="2" x14ac:dyDescent="0.2">
      <c r="B475" s="724" t="s">
        <v>282</v>
      </c>
      <c r="C475" s="79"/>
      <c r="D475" s="275">
        <v>0</v>
      </c>
      <c r="E475" s="275">
        <v>0</v>
      </c>
      <c r="F475" s="275">
        <v>0</v>
      </c>
      <c r="G475" s="275">
        <v>0</v>
      </c>
      <c r="H475" s="275">
        <v>0</v>
      </c>
    </row>
    <row r="476" spans="2:8" ht="15" outlineLevel="2" x14ac:dyDescent="0.25">
      <c r="B476" s="725" t="s">
        <v>1</v>
      </c>
      <c r="C476" s="136">
        <f t="shared" ref="C476:H476" si="517">+C473*C470</f>
        <v>12486288.671999995</v>
      </c>
      <c r="D476" s="136">
        <f t="shared" si="517"/>
        <v>13414198.762799999</v>
      </c>
      <c r="E476" s="136">
        <f t="shared" si="517"/>
        <v>14452704.439588798</v>
      </c>
      <c r="F476" s="136">
        <f t="shared" si="517"/>
        <v>15661301.279975364</v>
      </c>
      <c r="G476" s="136">
        <f t="shared" si="517"/>
        <v>17067244.134836026</v>
      </c>
      <c r="H476" s="136">
        <f t="shared" si="517"/>
        <v>18706206.049504224</v>
      </c>
    </row>
    <row r="477" spans="2:8" ht="15" outlineLevel="1" x14ac:dyDescent="0.25">
      <c r="B477" s="723" t="str">
        <f>+B100</f>
        <v>Cilantro</v>
      </c>
      <c r="C477" s="128"/>
      <c r="D477" s="84"/>
      <c r="E477" s="84"/>
      <c r="F477" s="84"/>
      <c r="G477" s="84"/>
      <c r="H477" s="84"/>
    </row>
    <row r="478" spans="2:8" outlineLevel="2" x14ac:dyDescent="0.2">
      <c r="B478" s="724" t="s">
        <v>283</v>
      </c>
      <c r="C478" s="79">
        <f>+O101</f>
        <v>25611.480000000007</v>
      </c>
      <c r="D478" s="79">
        <f>ROUNDDOWN(C478*(1+D480)*(1+D479),0)</f>
        <v>26635</v>
      </c>
      <c r="E478" s="79">
        <f>ROUNDDOWN(D478*(1+E480)*(1+E479),0)</f>
        <v>27700</v>
      </c>
      <c r="F478" s="79">
        <f>ROUNDDOWN(E478*(1+F480)*(1+F479),0)</f>
        <v>28808</v>
      </c>
      <c r="G478" s="79">
        <f>ROUNDDOWN(F478*(1+G480)*(1+G479),0)</f>
        <v>29960</v>
      </c>
      <c r="H478" s="79">
        <f>ROUNDDOWN(G478*(1+H480)*(1+H479),0)</f>
        <v>31158</v>
      </c>
    </row>
    <row r="479" spans="2:8" outlineLevel="2" x14ac:dyDescent="0.2">
      <c r="B479" s="724" t="s">
        <v>302</v>
      </c>
      <c r="C479" s="129">
        <f>+Supuestos!$D$14</f>
        <v>4.1000000000000002E-2</v>
      </c>
      <c r="D479" s="129">
        <f>+Supuestos!$E$14</f>
        <v>0.04</v>
      </c>
      <c r="E479" s="129">
        <f>+Supuestos!$F$14</f>
        <v>0.04</v>
      </c>
      <c r="F479" s="129">
        <f>+Supuestos!$G$14</f>
        <v>0.04</v>
      </c>
      <c r="G479" s="129">
        <f>+Supuestos!$H$14</f>
        <v>0.04</v>
      </c>
      <c r="H479" s="129">
        <f>+Supuestos!$I$14</f>
        <v>0.04</v>
      </c>
    </row>
    <row r="480" spans="2:8" outlineLevel="2" x14ac:dyDescent="0.2">
      <c r="B480" s="724" t="s">
        <v>303</v>
      </c>
      <c r="C480" s="79"/>
      <c r="D480" s="275">
        <v>0</v>
      </c>
      <c r="E480" s="275">
        <v>0</v>
      </c>
      <c r="F480" s="275">
        <v>0</v>
      </c>
      <c r="G480" s="275">
        <v>0</v>
      </c>
      <c r="H480" s="275">
        <v>0</v>
      </c>
    </row>
    <row r="481" spans="2:8" outlineLevel="2" x14ac:dyDescent="0.2">
      <c r="B481" s="722" t="s">
        <v>249</v>
      </c>
      <c r="C481" s="79">
        <f>+O104</f>
        <v>5130</v>
      </c>
      <c r="D481" s="79">
        <f>+C481*(1+D483)*(1+C482)</f>
        <v>5299.29</v>
      </c>
      <c r="E481" s="79">
        <f>+D481*(1+E483)*(1+D482)</f>
        <v>5490.0644400000001</v>
      </c>
      <c r="F481" s="79">
        <f>+E481*(1+F483)*(1+E482)</f>
        <v>5720.6471464800006</v>
      </c>
      <c r="G481" s="79">
        <f>+F481*(1+G483)*(1+F482)</f>
        <v>5995.2382095110406</v>
      </c>
      <c r="H481" s="79">
        <f>+G481*(1+H483)*(1+G482)</f>
        <v>6318.9810728246375</v>
      </c>
    </row>
    <row r="482" spans="2:8" outlineLevel="2" x14ac:dyDescent="0.2">
      <c r="B482" s="724" t="s">
        <v>304</v>
      </c>
      <c r="C482" s="129">
        <f>+Supuestos!$D$13</f>
        <v>3.3000000000000002E-2</v>
      </c>
      <c r="D482" s="129">
        <f>+Supuestos!$E$13</f>
        <v>3.5999999999999997E-2</v>
      </c>
      <c r="E482" s="129">
        <f>+Supuestos!$F$13</f>
        <v>4.2000000000000003E-2</v>
      </c>
      <c r="F482" s="129">
        <f>+Supuestos!$G$13</f>
        <v>4.8000000000000001E-2</v>
      </c>
      <c r="G482" s="129">
        <f>+Supuestos!$H$13</f>
        <v>5.3999999999999999E-2</v>
      </c>
      <c r="H482" s="129">
        <f>+Supuestos!$I$13</f>
        <v>0.06</v>
      </c>
    </row>
    <row r="483" spans="2:8" outlineLevel="2" x14ac:dyDescent="0.2">
      <c r="B483" s="724" t="s">
        <v>282</v>
      </c>
      <c r="C483" s="79"/>
      <c r="D483" s="275">
        <v>0</v>
      </c>
      <c r="E483" s="275">
        <v>0</v>
      </c>
      <c r="F483" s="275">
        <v>0</v>
      </c>
      <c r="G483" s="275">
        <v>0</v>
      </c>
      <c r="H483" s="275">
        <v>0</v>
      </c>
    </row>
    <row r="484" spans="2:8" ht="15" outlineLevel="2" x14ac:dyDescent="0.25">
      <c r="B484" s="725" t="s">
        <v>1</v>
      </c>
      <c r="C484" s="136">
        <f t="shared" ref="C484:H484" si="518">+C481*C478</f>
        <v>131386892.40000004</v>
      </c>
      <c r="D484" s="136">
        <f t="shared" si="518"/>
        <v>141146589.15000001</v>
      </c>
      <c r="E484" s="136">
        <f t="shared" si="518"/>
        <v>152074784.98800001</v>
      </c>
      <c r="F484" s="136">
        <f t="shared" si="518"/>
        <v>164800402.99579585</v>
      </c>
      <c r="G484" s="136">
        <f t="shared" si="518"/>
        <v>179617336.75695077</v>
      </c>
      <c r="H484" s="136">
        <f t="shared" si="518"/>
        <v>196886812.26707006</v>
      </c>
    </row>
    <row r="485" spans="2:8" ht="15" outlineLevel="1" x14ac:dyDescent="0.25">
      <c r="B485" s="723" t="str">
        <f>+B108</f>
        <v>Frijol verde</v>
      </c>
      <c r="C485" s="128"/>
      <c r="D485" s="84"/>
      <c r="E485" s="84"/>
      <c r="F485" s="84"/>
      <c r="G485" s="84"/>
      <c r="H485" s="84"/>
    </row>
    <row r="486" spans="2:8" outlineLevel="2" x14ac:dyDescent="0.2">
      <c r="B486" s="724" t="s">
        <v>283</v>
      </c>
      <c r="C486" s="79">
        <f>+O109</f>
        <v>22719.359999999997</v>
      </c>
      <c r="D486" s="79">
        <f>ROUNDDOWN(C486*(1+D488)*(1+D487),0)</f>
        <v>23628</v>
      </c>
      <c r="E486" s="79">
        <f>ROUNDDOWN(D486*(1+E488)*(1+E487),0)</f>
        <v>24573</v>
      </c>
      <c r="F486" s="79">
        <f>ROUNDDOWN(E486*(1+F488)*(1+F487),0)</f>
        <v>25555</v>
      </c>
      <c r="G486" s="79">
        <f>ROUNDDOWN(F486*(1+G488)*(1+G487),0)</f>
        <v>26577</v>
      </c>
      <c r="H486" s="79">
        <f>ROUNDDOWN(G486*(1+H488)*(1+H487),0)</f>
        <v>27640</v>
      </c>
    </row>
    <row r="487" spans="2:8" outlineLevel="2" x14ac:dyDescent="0.2">
      <c r="B487" s="724" t="s">
        <v>302</v>
      </c>
      <c r="C487" s="129">
        <f>+Supuestos!$D$14</f>
        <v>4.1000000000000002E-2</v>
      </c>
      <c r="D487" s="129">
        <f>+Supuestos!$E$14</f>
        <v>0.04</v>
      </c>
      <c r="E487" s="129">
        <f>+Supuestos!$F$14</f>
        <v>0.04</v>
      </c>
      <c r="F487" s="129">
        <f>+Supuestos!$G$14</f>
        <v>0.04</v>
      </c>
      <c r="G487" s="129">
        <f>+Supuestos!$H$14</f>
        <v>0.04</v>
      </c>
      <c r="H487" s="129">
        <f>+Supuestos!$I$14</f>
        <v>0.04</v>
      </c>
    </row>
    <row r="488" spans="2:8" outlineLevel="2" x14ac:dyDescent="0.2">
      <c r="B488" s="724" t="s">
        <v>303</v>
      </c>
      <c r="C488" s="79"/>
      <c r="D488" s="275">
        <v>0</v>
      </c>
      <c r="E488" s="275">
        <v>0</v>
      </c>
      <c r="F488" s="275">
        <v>0</v>
      </c>
      <c r="G488" s="275">
        <v>0</v>
      </c>
      <c r="H488" s="275">
        <v>0</v>
      </c>
    </row>
    <row r="489" spans="2:8" outlineLevel="2" x14ac:dyDescent="0.2">
      <c r="B489" s="722" t="s">
        <v>249</v>
      </c>
      <c r="C489" s="79">
        <f>+O112</f>
        <v>2906.66</v>
      </c>
      <c r="D489" s="79">
        <f>+C489*(1+D491)*(1+C490)</f>
        <v>3002.5797799999996</v>
      </c>
      <c r="E489" s="79">
        <f>+D489*(1+E491)*(1+D490)</f>
        <v>3110.6726520799998</v>
      </c>
      <c r="F489" s="79">
        <f>+E489*(1+F491)*(1+E490)</f>
        <v>3241.32090346736</v>
      </c>
      <c r="G489" s="79">
        <f>+F489*(1+G491)*(1+F490)</f>
        <v>3396.9043068337933</v>
      </c>
      <c r="H489" s="79">
        <f>+G489*(1+H491)*(1+G490)</f>
        <v>3580.3371394028181</v>
      </c>
    </row>
    <row r="490" spans="2:8" outlineLevel="2" x14ac:dyDescent="0.2">
      <c r="B490" s="724" t="s">
        <v>304</v>
      </c>
      <c r="C490" s="129">
        <f>+Supuestos!$D$13</f>
        <v>3.3000000000000002E-2</v>
      </c>
      <c r="D490" s="129">
        <f>+Supuestos!$E$13</f>
        <v>3.5999999999999997E-2</v>
      </c>
      <c r="E490" s="129">
        <f>+Supuestos!$F$13</f>
        <v>4.2000000000000003E-2</v>
      </c>
      <c r="F490" s="129">
        <f>+Supuestos!$G$13</f>
        <v>4.8000000000000001E-2</v>
      </c>
      <c r="G490" s="129">
        <f>+Supuestos!$H$13</f>
        <v>5.3999999999999999E-2</v>
      </c>
      <c r="H490" s="129">
        <f>+Supuestos!$I$13</f>
        <v>0.06</v>
      </c>
    </row>
    <row r="491" spans="2:8" outlineLevel="2" x14ac:dyDescent="0.2">
      <c r="B491" s="724" t="s">
        <v>282</v>
      </c>
      <c r="C491" s="79"/>
      <c r="D491" s="275">
        <v>0</v>
      </c>
      <c r="E491" s="275">
        <v>0</v>
      </c>
      <c r="F491" s="275">
        <v>0</v>
      </c>
      <c r="G491" s="275">
        <v>0</v>
      </c>
      <c r="H491" s="275">
        <v>0</v>
      </c>
    </row>
    <row r="492" spans="2:8" ht="15" outlineLevel="2" x14ac:dyDescent="0.25">
      <c r="B492" s="725" t="s">
        <v>1</v>
      </c>
      <c r="C492" s="136">
        <f t="shared" ref="C492:H492" si="519">+C489*C486</f>
        <v>66037454.937599987</v>
      </c>
      <c r="D492" s="136">
        <f t="shared" si="519"/>
        <v>70944955.041839987</v>
      </c>
      <c r="E492" s="136">
        <f t="shared" si="519"/>
        <v>76438559.07956183</v>
      </c>
      <c r="F492" s="136">
        <f t="shared" si="519"/>
        <v>82831955.688108385</v>
      </c>
      <c r="G492" s="136">
        <f t="shared" si="519"/>
        <v>90279525.762721717</v>
      </c>
      <c r="H492" s="136">
        <f t="shared" si="519"/>
        <v>98960518.533093899</v>
      </c>
    </row>
    <row r="493" spans="2:8" ht="15" outlineLevel="1" x14ac:dyDescent="0.25">
      <c r="B493" s="723" t="str">
        <f>+B116</f>
        <v>Habichuela</v>
      </c>
      <c r="C493" s="128"/>
      <c r="D493" s="84"/>
      <c r="E493" s="84"/>
      <c r="F493" s="84"/>
      <c r="G493" s="84"/>
      <c r="H493" s="84"/>
    </row>
    <row r="494" spans="2:8" outlineLevel="2" x14ac:dyDescent="0.2">
      <c r="B494" s="724" t="s">
        <v>283</v>
      </c>
      <c r="C494" s="79">
        <f>+O117</f>
        <v>16865.280000000002</v>
      </c>
      <c r="D494" s="79">
        <f>ROUNDDOWN(C494*(1+D496)*(1+D495),0)</f>
        <v>17539</v>
      </c>
      <c r="E494" s="79">
        <f>ROUNDDOWN(D494*(1+E496)*(1+E495),0)</f>
        <v>18240</v>
      </c>
      <c r="F494" s="79">
        <f>ROUNDDOWN(E494*(1+F496)*(1+F495),0)</f>
        <v>18969</v>
      </c>
      <c r="G494" s="79">
        <f>ROUNDDOWN(F494*(1+G496)*(1+G495),0)</f>
        <v>19727</v>
      </c>
      <c r="H494" s="79">
        <f>ROUNDDOWN(G494*(1+H496)*(1+H495),0)</f>
        <v>20516</v>
      </c>
    </row>
    <row r="495" spans="2:8" outlineLevel="2" x14ac:dyDescent="0.2">
      <c r="B495" s="724" t="s">
        <v>302</v>
      </c>
      <c r="C495" s="129">
        <f>+Supuestos!$D$14</f>
        <v>4.1000000000000002E-2</v>
      </c>
      <c r="D495" s="129">
        <f>+Supuestos!$E$14</f>
        <v>0.04</v>
      </c>
      <c r="E495" s="129">
        <f>+Supuestos!$F$14</f>
        <v>0.04</v>
      </c>
      <c r="F495" s="129">
        <f>+Supuestos!$G$14</f>
        <v>0.04</v>
      </c>
      <c r="G495" s="129">
        <f>+Supuestos!$H$14</f>
        <v>0.04</v>
      </c>
      <c r="H495" s="129">
        <f>+Supuestos!$I$14</f>
        <v>0.04</v>
      </c>
    </row>
    <row r="496" spans="2:8" outlineLevel="2" x14ac:dyDescent="0.2">
      <c r="B496" s="724" t="s">
        <v>303</v>
      </c>
      <c r="C496" s="79"/>
      <c r="D496" s="275">
        <v>0</v>
      </c>
      <c r="E496" s="275">
        <v>0</v>
      </c>
      <c r="F496" s="275">
        <v>0</v>
      </c>
      <c r="G496" s="275">
        <v>0</v>
      </c>
      <c r="H496" s="275">
        <v>0</v>
      </c>
    </row>
    <row r="497" spans="2:8" outlineLevel="2" x14ac:dyDescent="0.2">
      <c r="B497" s="722" t="s">
        <v>249</v>
      </c>
      <c r="C497" s="79">
        <f>+O120</f>
        <v>1675.46</v>
      </c>
      <c r="D497" s="79">
        <f>+C497*(1+D499)*(1+C498)</f>
        <v>1730.75018</v>
      </c>
      <c r="E497" s="79">
        <f>+D497*(1+E499)*(1+D498)</f>
        <v>1793.0571864800002</v>
      </c>
      <c r="F497" s="79">
        <f>+E497*(1+F499)*(1+E498)</f>
        <v>1868.3655883121603</v>
      </c>
      <c r="G497" s="79">
        <f>+F497*(1+G499)*(1+F498)</f>
        <v>1958.0471365511441</v>
      </c>
      <c r="H497" s="79">
        <f>+G497*(1+H499)*(1+G498)</f>
        <v>2063.781681924906</v>
      </c>
    </row>
    <row r="498" spans="2:8" outlineLevel="2" x14ac:dyDescent="0.2">
      <c r="B498" s="724" t="s">
        <v>304</v>
      </c>
      <c r="C498" s="129">
        <f>+Supuestos!$D$13</f>
        <v>3.3000000000000002E-2</v>
      </c>
      <c r="D498" s="129">
        <f>+Supuestos!$E$13</f>
        <v>3.5999999999999997E-2</v>
      </c>
      <c r="E498" s="129">
        <f>+Supuestos!$F$13</f>
        <v>4.2000000000000003E-2</v>
      </c>
      <c r="F498" s="129">
        <f>+Supuestos!$G$13</f>
        <v>4.8000000000000001E-2</v>
      </c>
      <c r="G498" s="129">
        <f>+Supuestos!$H$13</f>
        <v>5.3999999999999999E-2</v>
      </c>
      <c r="H498" s="129">
        <f>+Supuestos!$I$13</f>
        <v>0.06</v>
      </c>
    </row>
    <row r="499" spans="2:8" outlineLevel="2" x14ac:dyDescent="0.2">
      <c r="B499" s="724" t="s">
        <v>282</v>
      </c>
      <c r="C499" s="79"/>
      <c r="D499" s="275">
        <v>0</v>
      </c>
      <c r="E499" s="275">
        <v>0</v>
      </c>
      <c r="F499" s="275">
        <v>0</v>
      </c>
      <c r="G499" s="275">
        <v>0</v>
      </c>
      <c r="H499" s="275">
        <v>0</v>
      </c>
    </row>
    <row r="500" spans="2:8" ht="15" outlineLevel="2" x14ac:dyDescent="0.25">
      <c r="B500" s="725" t="s">
        <v>1</v>
      </c>
      <c r="C500" s="136">
        <f t="shared" ref="C500:H500" si="520">+C497*C494</f>
        <v>28257102.028800003</v>
      </c>
      <c r="D500" s="136">
        <f t="shared" si="520"/>
        <v>30355627.407019999</v>
      </c>
      <c r="E500" s="136">
        <f t="shared" si="520"/>
        <v>32705363.081395201</v>
      </c>
      <c r="F500" s="136">
        <f t="shared" si="520"/>
        <v>35441026.84469337</v>
      </c>
      <c r="G500" s="136">
        <f t="shared" si="520"/>
        <v>38626395.862744421</v>
      </c>
      <c r="H500" s="136">
        <f t="shared" si="520"/>
        <v>42340544.986371376</v>
      </c>
    </row>
    <row r="501" spans="2:8" ht="15" outlineLevel="1" x14ac:dyDescent="0.25">
      <c r="B501" s="723" t="str">
        <f>+B124</f>
        <v>Lechuga Batavia</v>
      </c>
      <c r="C501" s="128"/>
      <c r="D501" s="84"/>
      <c r="E501" s="84"/>
      <c r="F501" s="84"/>
      <c r="G501" s="84"/>
      <c r="H501" s="84"/>
    </row>
    <row r="502" spans="2:8" outlineLevel="2" x14ac:dyDescent="0.2">
      <c r="B502" s="724" t="s">
        <v>283</v>
      </c>
      <c r="C502" s="79">
        <f>+O125</f>
        <v>1597.0799999999997</v>
      </c>
      <c r="D502" s="79">
        <f>ROUNDDOWN(C502*(1+D504)*(1+D503),0)</f>
        <v>1660</v>
      </c>
      <c r="E502" s="79">
        <f>ROUNDDOWN(D502*(1+E504)*(1+E503),0)</f>
        <v>1726</v>
      </c>
      <c r="F502" s="79">
        <f>ROUNDDOWN(E502*(1+F504)*(1+F503),0)</f>
        <v>1795</v>
      </c>
      <c r="G502" s="79">
        <f>ROUNDDOWN(F502*(1+G504)*(1+G503),0)</f>
        <v>1866</v>
      </c>
      <c r="H502" s="79">
        <f>ROUNDDOWN(G502*(1+H504)*(1+H503),0)</f>
        <v>1940</v>
      </c>
    </row>
    <row r="503" spans="2:8" outlineLevel="2" x14ac:dyDescent="0.2">
      <c r="B503" s="724" t="s">
        <v>302</v>
      </c>
      <c r="C503" s="129">
        <f>+Supuestos!$D$14</f>
        <v>4.1000000000000002E-2</v>
      </c>
      <c r="D503" s="129">
        <f>+Supuestos!$E$14</f>
        <v>0.04</v>
      </c>
      <c r="E503" s="129">
        <f>+Supuestos!$F$14</f>
        <v>0.04</v>
      </c>
      <c r="F503" s="129">
        <f>+Supuestos!$G$14</f>
        <v>0.04</v>
      </c>
      <c r="G503" s="129">
        <f>+Supuestos!$H$14</f>
        <v>0.04</v>
      </c>
      <c r="H503" s="129">
        <f>+Supuestos!$I$14</f>
        <v>0.04</v>
      </c>
    </row>
    <row r="504" spans="2:8" outlineLevel="2" x14ac:dyDescent="0.2">
      <c r="B504" s="724" t="s">
        <v>303</v>
      </c>
      <c r="C504" s="79"/>
      <c r="D504" s="275">
        <v>0</v>
      </c>
      <c r="E504" s="275">
        <v>0</v>
      </c>
      <c r="F504" s="275">
        <v>0</v>
      </c>
      <c r="G504" s="275">
        <v>0</v>
      </c>
      <c r="H504" s="275">
        <v>0</v>
      </c>
    </row>
    <row r="505" spans="2:8" outlineLevel="2" x14ac:dyDescent="0.2">
      <c r="B505" s="722" t="s">
        <v>249</v>
      </c>
      <c r="C505" s="79">
        <f>+O128</f>
        <v>1367.66</v>
      </c>
      <c r="D505" s="79">
        <f>+C505*(1+D507)*(1+C506)</f>
        <v>1412.79278</v>
      </c>
      <c r="E505" s="79">
        <f>+D505*(1+E507)*(1+D506)</f>
        <v>1463.65332008</v>
      </c>
      <c r="F505" s="79">
        <f>+E505*(1+F507)*(1+E506)</f>
        <v>1525.1267595233601</v>
      </c>
      <c r="G505" s="79">
        <f>+F505*(1+G507)*(1+F506)</f>
        <v>1598.3328439804814</v>
      </c>
      <c r="H505" s="79">
        <f>+G505*(1+H507)*(1+G506)</f>
        <v>1684.6428175554274</v>
      </c>
    </row>
    <row r="506" spans="2:8" outlineLevel="2" x14ac:dyDescent="0.2">
      <c r="B506" s="724" t="s">
        <v>304</v>
      </c>
      <c r="C506" s="129">
        <f>+Supuestos!$D$13</f>
        <v>3.3000000000000002E-2</v>
      </c>
      <c r="D506" s="129">
        <f>+Supuestos!$E$13</f>
        <v>3.5999999999999997E-2</v>
      </c>
      <c r="E506" s="129">
        <f>+Supuestos!$F$13</f>
        <v>4.2000000000000003E-2</v>
      </c>
      <c r="F506" s="129">
        <f>+Supuestos!$G$13</f>
        <v>4.8000000000000001E-2</v>
      </c>
      <c r="G506" s="129">
        <f>+Supuestos!$H$13</f>
        <v>5.3999999999999999E-2</v>
      </c>
      <c r="H506" s="129">
        <f>+Supuestos!$I$13</f>
        <v>0.06</v>
      </c>
    </row>
    <row r="507" spans="2:8" outlineLevel="2" x14ac:dyDescent="0.2">
      <c r="B507" s="724" t="s">
        <v>282</v>
      </c>
      <c r="C507" s="79"/>
      <c r="D507" s="275">
        <v>0</v>
      </c>
      <c r="E507" s="275">
        <v>0</v>
      </c>
      <c r="F507" s="275">
        <v>0</v>
      </c>
      <c r="G507" s="275">
        <v>0</v>
      </c>
      <c r="H507" s="275">
        <v>0</v>
      </c>
    </row>
    <row r="508" spans="2:8" ht="15" outlineLevel="2" x14ac:dyDescent="0.25">
      <c r="B508" s="725" t="s">
        <v>1</v>
      </c>
      <c r="C508" s="136">
        <f t="shared" ref="C508:H508" si="521">+C505*C502</f>
        <v>2184262.4327999996</v>
      </c>
      <c r="D508" s="136">
        <f t="shared" si="521"/>
        <v>2345236.0148</v>
      </c>
      <c r="E508" s="136">
        <f t="shared" si="521"/>
        <v>2526265.6304580797</v>
      </c>
      <c r="F508" s="136">
        <f t="shared" si="521"/>
        <v>2737602.5333444313</v>
      </c>
      <c r="G508" s="136">
        <f t="shared" si="521"/>
        <v>2982489.0868675783</v>
      </c>
      <c r="H508" s="136">
        <f t="shared" si="521"/>
        <v>3268207.0660575293</v>
      </c>
    </row>
    <row r="509" spans="2:8" ht="15" outlineLevel="1" x14ac:dyDescent="0.25">
      <c r="B509" s="723" t="str">
        <f>+B132</f>
        <v>Papa Capira</v>
      </c>
      <c r="C509" s="128"/>
      <c r="D509" s="84"/>
      <c r="E509" s="84"/>
      <c r="F509" s="84"/>
      <c r="G509" s="84"/>
      <c r="H509" s="84"/>
    </row>
    <row r="510" spans="2:8" outlineLevel="2" x14ac:dyDescent="0.2">
      <c r="B510" s="724" t="s">
        <v>283</v>
      </c>
      <c r="C510" s="79">
        <f>+O133</f>
        <v>37749.359999999993</v>
      </c>
      <c r="D510" s="79">
        <f>ROUNDDOWN(C510*(1+D512)*(1+D511),0)</f>
        <v>39259</v>
      </c>
      <c r="E510" s="79">
        <f>ROUNDDOWN(D510*(1+E512)*(1+E511),0)</f>
        <v>40829</v>
      </c>
      <c r="F510" s="79">
        <f>ROUNDDOWN(E510*(1+F512)*(1+F511),0)</f>
        <v>42462</v>
      </c>
      <c r="G510" s="79">
        <f>ROUNDDOWN(F510*(1+G512)*(1+G511),0)</f>
        <v>44160</v>
      </c>
      <c r="H510" s="79">
        <f>ROUNDDOWN(G510*(1+H512)*(1+H511),0)</f>
        <v>45926</v>
      </c>
    </row>
    <row r="511" spans="2:8" outlineLevel="2" x14ac:dyDescent="0.2">
      <c r="B511" s="724" t="s">
        <v>302</v>
      </c>
      <c r="C511" s="129">
        <f>+Supuestos!$D$14</f>
        <v>4.1000000000000002E-2</v>
      </c>
      <c r="D511" s="129">
        <f>+Supuestos!$E$14</f>
        <v>0.04</v>
      </c>
      <c r="E511" s="129">
        <f>+Supuestos!$F$14</f>
        <v>0.04</v>
      </c>
      <c r="F511" s="129">
        <f>+Supuestos!$G$14</f>
        <v>0.04</v>
      </c>
      <c r="G511" s="129">
        <f>+Supuestos!$H$14</f>
        <v>0.04</v>
      </c>
      <c r="H511" s="129">
        <f>+Supuestos!$I$14</f>
        <v>0.04</v>
      </c>
    </row>
    <row r="512" spans="2:8" outlineLevel="2" x14ac:dyDescent="0.2">
      <c r="B512" s="724" t="s">
        <v>303</v>
      </c>
      <c r="C512" s="79"/>
      <c r="D512" s="275">
        <v>0</v>
      </c>
      <c r="E512" s="275">
        <v>0</v>
      </c>
      <c r="F512" s="275">
        <v>0</v>
      </c>
      <c r="G512" s="275">
        <v>0</v>
      </c>
      <c r="H512" s="275">
        <v>0</v>
      </c>
    </row>
    <row r="513" spans="2:8" outlineLevel="2" x14ac:dyDescent="0.2">
      <c r="B513" s="722" t="s">
        <v>249</v>
      </c>
      <c r="C513" s="79">
        <f>+O136</f>
        <v>2257.1999999999998</v>
      </c>
      <c r="D513" s="79">
        <f>+C513*(1+D515)*(1+C514)</f>
        <v>2331.6875999999997</v>
      </c>
      <c r="E513" s="79">
        <f>+D513*(1+E515)*(1+D514)</f>
        <v>2415.6283535999996</v>
      </c>
      <c r="F513" s="79">
        <f>+E513*(1+F515)*(1+E514)</f>
        <v>2517.0847444511996</v>
      </c>
      <c r="G513" s="79">
        <f>+F513*(1+G515)*(1+F514)</f>
        <v>2637.9048121848573</v>
      </c>
      <c r="H513" s="79">
        <f>+G513*(1+H515)*(1+G514)</f>
        <v>2780.3516720428397</v>
      </c>
    </row>
    <row r="514" spans="2:8" outlineLevel="2" x14ac:dyDescent="0.2">
      <c r="B514" s="724" t="s">
        <v>304</v>
      </c>
      <c r="C514" s="129">
        <f>+Supuestos!$D$13</f>
        <v>3.3000000000000002E-2</v>
      </c>
      <c r="D514" s="129">
        <f>+Supuestos!$E$13</f>
        <v>3.5999999999999997E-2</v>
      </c>
      <c r="E514" s="129">
        <f>+Supuestos!$F$13</f>
        <v>4.2000000000000003E-2</v>
      </c>
      <c r="F514" s="129">
        <f>+Supuestos!$G$13</f>
        <v>4.8000000000000001E-2</v>
      </c>
      <c r="G514" s="129">
        <f>+Supuestos!$H$13</f>
        <v>5.3999999999999999E-2</v>
      </c>
      <c r="H514" s="129">
        <f>+Supuestos!$I$13</f>
        <v>0.06</v>
      </c>
    </row>
    <row r="515" spans="2:8" outlineLevel="2" x14ac:dyDescent="0.2">
      <c r="B515" s="724" t="s">
        <v>282</v>
      </c>
      <c r="C515" s="79"/>
      <c r="D515" s="275">
        <v>0</v>
      </c>
      <c r="E515" s="275">
        <v>0</v>
      </c>
      <c r="F515" s="275">
        <v>0</v>
      </c>
      <c r="G515" s="275">
        <v>0</v>
      </c>
      <c r="H515" s="275">
        <v>0</v>
      </c>
    </row>
    <row r="516" spans="2:8" ht="15" outlineLevel="2" x14ac:dyDescent="0.25">
      <c r="B516" s="725" t="s">
        <v>1</v>
      </c>
      <c r="C516" s="136">
        <f t="shared" ref="C516:H516" si="522">+C513*C510</f>
        <v>85207855.391999975</v>
      </c>
      <c r="D516" s="136">
        <f t="shared" si="522"/>
        <v>91539723.488399997</v>
      </c>
      <c r="E516" s="136">
        <f t="shared" si="522"/>
        <v>98627690.049134389</v>
      </c>
      <c r="F516" s="136">
        <f t="shared" si="522"/>
        <v>106880452.41888684</v>
      </c>
      <c r="G516" s="136">
        <f t="shared" si="522"/>
        <v>116489876.50608329</v>
      </c>
      <c r="H516" s="136">
        <f t="shared" si="522"/>
        <v>127690430.89023946</v>
      </c>
    </row>
    <row r="517" spans="2:8" ht="15" outlineLevel="1" x14ac:dyDescent="0.25">
      <c r="B517" s="723" t="str">
        <f>+B140</f>
        <v>Papa criolla</v>
      </c>
      <c r="C517" s="128"/>
      <c r="D517" s="84"/>
      <c r="E517" s="84"/>
      <c r="F517" s="84"/>
      <c r="G517" s="84"/>
      <c r="H517" s="84"/>
    </row>
    <row r="518" spans="2:8" outlineLevel="2" x14ac:dyDescent="0.2">
      <c r="B518" s="724" t="s">
        <v>283</v>
      </c>
      <c r="C518" s="79">
        <f>+O141</f>
        <v>18119.64</v>
      </c>
      <c r="D518" s="79">
        <f>ROUNDDOWN(C518*(1+D520)*(1+D519),0)</f>
        <v>18844</v>
      </c>
      <c r="E518" s="79">
        <f>ROUNDDOWN(D518*(1+E520)*(1+E519),0)</f>
        <v>19597</v>
      </c>
      <c r="F518" s="79">
        <f>ROUNDDOWN(E518*(1+F520)*(1+F519),0)</f>
        <v>20380</v>
      </c>
      <c r="G518" s="79">
        <f>ROUNDDOWN(F518*(1+G520)*(1+G519),0)</f>
        <v>21195</v>
      </c>
      <c r="H518" s="79">
        <f>ROUNDDOWN(G518*(1+H520)*(1+H519),0)</f>
        <v>22042</v>
      </c>
    </row>
    <row r="519" spans="2:8" outlineLevel="2" x14ac:dyDescent="0.2">
      <c r="B519" s="724" t="s">
        <v>302</v>
      </c>
      <c r="C519" s="129">
        <f>+Supuestos!$D$14</f>
        <v>4.1000000000000002E-2</v>
      </c>
      <c r="D519" s="129">
        <f>+Supuestos!$E$14</f>
        <v>0.04</v>
      </c>
      <c r="E519" s="129">
        <f>+Supuestos!$F$14</f>
        <v>0.04</v>
      </c>
      <c r="F519" s="129">
        <f>+Supuestos!$G$14</f>
        <v>0.04</v>
      </c>
      <c r="G519" s="129">
        <f>+Supuestos!$H$14</f>
        <v>0.04</v>
      </c>
      <c r="H519" s="129">
        <f>+Supuestos!$I$14</f>
        <v>0.04</v>
      </c>
    </row>
    <row r="520" spans="2:8" outlineLevel="2" x14ac:dyDescent="0.2">
      <c r="B520" s="724" t="s">
        <v>303</v>
      </c>
      <c r="C520" s="79"/>
      <c r="D520" s="275">
        <v>0</v>
      </c>
      <c r="E520" s="275">
        <v>0</v>
      </c>
      <c r="F520" s="275">
        <v>0</v>
      </c>
      <c r="G520" s="275">
        <v>0</v>
      </c>
      <c r="H520" s="275">
        <v>0</v>
      </c>
    </row>
    <row r="521" spans="2:8" outlineLevel="2" x14ac:dyDescent="0.2">
      <c r="B521" s="722" t="s">
        <v>249</v>
      </c>
      <c r="C521" s="79">
        <f>+O144</f>
        <v>2975.4</v>
      </c>
      <c r="D521" s="79">
        <f>+C521*(1+D523)*(1+C522)</f>
        <v>3073.5881999999997</v>
      </c>
      <c r="E521" s="79">
        <f>+D521*(1+E523)*(1+D522)</f>
        <v>3184.2373751999999</v>
      </c>
      <c r="F521" s="79">
        <f>+E521*(1+F523)*(1+E522)</f>
        <v>3317.9753449584</v>
      </c>
      <c r="G521" s="79">
        <f>+F521*(1+G523)*(1+F522)</f>
        <v>3477.2381615164031</v>
      </c>
      <c r="H521" s="79">
        <f>+G521*(1+H523)*(1+G522)</f>
        <v>3665.0090222382892</v>
      </c>
    </row>
    <row r="522" spans="2:8" outlineLevel="2" x14ac:dyDescent="0.2">
      <c r="B522" s="724" t="s">
        <v>304</v>
      </c>
      <c r="C522" s="129">
        <f>+Supuestos!$D$13</f>
        <v>3.3000000000000002E-2</v>
      </c>
      <c r="D522" s="129">
        <f>+Supuestos!$E$13</f>
        <v>3.5999999999999997E-2</v>
      </c>
      <c r="E522" s="129">
        <f>+Supuestos!$F$13</f>
        <v>4.2000000000000003E-2</v>
      </c>
      <c r="F522" s="129">
        <f>+Supuestos!$G$13</f>
        <v>4.8000000000000001E-2</v>
      </c>
      <c r="G522" s="129">
        <f>+Supuestos!$H$13</f>
        <v>5.3999999999999999E-2</v>
      </c>
      <c r="H522" s="129">
        <f>+Supuestos!$I$13</f>
        <v>0.06</v>
      </c>
    </row>
    <row r="523" spans="2:8" outlineLevel="2" x14ac:dyDescent="0.2">
      <c r="B523" s="724" t="s">
        <v>282</v>
      </c>
      <c r="C523" s="79"/>
      <c r="D523" s="275">
        <v>0</v>
      </c>
      <c r="E523" s="275">
        <v>0</v>
      </c>
      <c r="F523" s="275">
        <v>0</v>
      </c>
      <c r="G523" s="275">
        <v>0</v>
      </c>
      <c r="H523" s="275">
        <v>0</v>
      </c>
    </row>
    <row r="524" spans="2:8" ht="15" outlineLevel="2" x14ac:dyDescent="0.25">
      <c r="B524" s="725" t="s">
        <v>1</v>
      </c>
      <c r="C524" s="136">
        <f t="shared" ref="C524:H524" si="523">+C521*C518</f>
        <v>53913176.855999999</v>
      </c>
      <c r="D524" s="136">
        <f t="shared" si="523"/>
        <v>57918696.040799998</v>
      </c>
      <c r="E524" s="136">
        <f t="shared" si="523"/>
        <v>62401499.841794394</v>
      </c>
      <c r="F524" s="136">
        <f t="shared" si="523"/>
        <v>67620337.530252188</v>
      </c>
      <c r="G524" s="136">
        <f t="shared" si="523"/>
        <v>73700062.833340168</v>
      </c>
      <c r="H524" s="136">
        <f t="shared" si="523"/>
        <v>80784128.868176371</v>
      </c>
    </row>
    <row r="525" spans="2:8" ht="15" outlineLevel="1" x14ac:dyDescent="0.25">
      <c r="B525" s="723" t="str">
        <f>+B148</f>
        <v>Pepino cohombro</v>
      </c>
      <c r="C525" s="128"/>
      <c r="D525" s="84"/>
      <c r="E525" s="84"/>
      <c r="F525" s="84"/>
      <c r="G525" s="84"/>
      <c r="H525" s="84"/>
    </row>
    <row r="526" spans="2:8" outlineLevel="2" x14ac:dyDescent="0.2">
      <c r="B526" s="724" t="s">
        <v>283</v>
      </c>
      <c r="C526" s="79">
        <f>+O149</f>
        <v>3484.5600000000009</v>
      </c>
      <c r="D526" s="79">
        <f>ROUNDDOWN(C526*(1+D528)*(1+D527),0)</f>
        <v>3623</v>
      </c>
      <c r="E526" s="79">
        <f>ROUNDDOWN(D526*(1+E528)*(1+E527),0)</f>
        <v>3767</v>
      </c>
      <c r="F526" s="79">
        <f>ROUNDDOWN(E526*(1+F528)*(1+F527),0)</f>
        <v>3917</v>
      </c>
      <c r="G526" s="79">
        <f>ROUNDDOWN(F526*(1+G528)*(1+G527),0)</f>
        <v>4073</v>
      </c>
      <c r="H526" s="79">
        <f>ROUNDDOWN(G526*(1+H528)*(1+H527),0)</f>
        <v>4235</v>
      </c>
    </row>
    <row r="527" spans="2:8" outlineLevel="2" x14ac:dyDescent="0.2">
      <c r="B527" s="724" t="s">
        <v>302</v>
      </c>
      <c r="C527" s="129">
        <f>+Supuestos!$D$14</f>
        <v>4.1000000000000002E-2</v>
      </c>
      <c r="D527" s="129">
        <f>+Supuestos!$E$14</f>
        <v>0.04</v>
      </c>
      <c r="E527" s="129">
        <f>+Supuestos!$F$14</f>
        <v>0.04</v>
      </c>
      <c r="F527" s="129">
        <f>+Supuestos!$G$14</f>
        <v>0.04</v>
      </c>
      <c r="G527" s="129">
        <f>+Supuestos!$H$14</f>
        <v>0.04</v>
      </c>
      <c r="H527" s="129">
        <f>+Supuestos!$I$14</f>
        <v>0.04</v>
      </c>
    </row>
    <row r="528" spans="2:8" outlineLevel="2" x14ac:dyDescent="0.2">
      <c r="B528" s="724" t="s">
        <v>303</v>
      </c>
      <c r="C528" s="79"/>
      <c r="D528" s="275">
        <v>0</v>
      </c>
      <c r="E528" s="275">
        <v>0</v>
      </c>
      <c r="F528" s="275">
        <v>0</v>
      </c>
      <c r="G528" s="275">
        <v>0</v>
      </c>
      <c r="H528" s="275">
        <v>0</v>
      </c>
    </row>
    <row r="529" spans="2:8" outlineLevel="2" x14ac:dyDescent="0.2">
      <c r="B529" s="722" t="s">
        <v>249</v>
      </c>
      <c r="C529" s="79">
        <f>+O152</f>
        <v>923.4</v>
      </c>
      <c r="D529" s="79">
        <f>+C529*(1+D531)*(1+C530)</f>
        <v>953.87219999999991</v>
      </c>
      <c r="E529" s="79">
        <f>+D529*(1+E531)*(1+D530)</f>
        <v>988.21159919999991</v>
      </c>
      <c r="F529" s="79">
        <f>+E529*(1+F531)*(1+E530)</f>
        <v>1029.7164863664</v>
      </c>
      <c r="G529" s="79">
        <f>+F529*(1+G531)*(1+F530)</f>
        <v>1079.1428777119872</v>
      </c>
      <c r="H529" s="79">
        <f>+G529*(1+H531)*(1+G530)</f>
        <v>1137.4165931084347</v>
      </c>
    </row>
    <row r="530" spans="2:8" outlineLevel="2" x14ac:dyDescent="0.2">
      <c r="B530" s="724" t="s">
        <v>304</v>
      </c>
      <c r="C530" s="129">
        <f>+Supuestos!$D$13</f>
        <v>3.3000000000000002E-2</v>
      </c>
      <c r="D530" s="129">
        <f>+Supuestos!$E$13</f>
        <v>3.5999999999999997E-2</v>
      </c>
      <c r="E530" s="129">
        <f>+Supuestos!$F$13</f>
        <v>4.2000000000000003E-2</v>
      </c>
      <c r="F530" s="129">
        <f>+Supuestos!$G$13</f>
        <v>4.8000000000000001E-2</v>
      </c>
      <c r="G530" s="129">
        <f>+Supuestos!$H$13</f>
        <v>5.3999999999999999E-2</v>
      </c>
      <c r="H530" s="129">
        <f>+Supuestos!$I$13</f>
        <v>0.06</v>
      </c>
    </row>
    <row r="531" spans="2:8" outlineLevel="2" x14ac:dyDescent="0.2">
      <c r="B531" s="724" t="s">
        <v>282</v>
      </c>
      <c r="C531" s="79"/>
      <c r="D531" s="275">
        <v>0</v>
      </c>
      <c r="E531" s="275">
        <v>0</v>
      </c>
      <c r="F531" s="275">
        <v>0</v>
      </c>
      <c r="G531" s="275">
        <v>0</v>
      </c>
      <c r="H531" s="275">
        <v>0</v>
      </c>
    </row>
    <row r="532" spans="2:8" ht="15" outlineLevel="2" x14ac:dyDescent="0.25">
      <c r="B532" s="725" t="s">
        <v>1</v>
      </c>
      <c r="C532" s="136">
        <f t="shared" ref="C532:H532" si="524">+C529*C526</f>
        <v>3217642.7040000008</v>
      </c>
      <c r="D532" s="136">
        <f t="shared" si="524"/>
        <v>3455878.9805999999</v>
      </c>
      <c r="E532" s="136">
        <f t="shared" si="524"/>
        <v>3722593.0941863996</v>
      </c>
      <c r="F532" s="136">
        <f t="shared" si="524"/>
        <v>4033399.4770971886</v>
      </c>
      <c r="G532" s="136">
        <f t="shared" si="524"/>
        <v>4395348.9409209238</v>
      </c>
      <c r="H532" s="136">
        <f t="shared" si="524"/>
        <v>4816959.2718142206</v>
      </c>
    </row>
    <row r="533" spans="2:8" ht="15" outlineLevel="1" x14ac:dyDescent="0.25">
      <c r="B533" s="723" t="str">
        <f>+B156</f>
        <v>Perejil</v>
      </c>
      <c r="C533" s="128"/>
      <c r="D533" s="84"/>
      <c r="E533" s="84"/>
      <c r="F533" s="84"/>
      <c r="G533" s="84"/>
      <c r="H533" s="84"/>
    </row>
    <row r="534" spans="2:8" outlineLevel="2" x14ac:dyDescent="0.2">
      <c r="B534" s="724" t="s">
        <v>283</v>
      </c>
      <c r="C534" s="79">
        <f>+O157</f>
        <v>3019.9199999999996</v>
      </c>
      <c r="D534" s="79">
        <f>ROUNDDOWN(C534*(1+D536)*(1+D535),0)</f>
        <v>3140</v>
      </c>
      <c r="E534" s="79">
        <f>ROUNDDOWN(D534*(1+E536)*(1+E535),0)</f>
        <v>3265</v>
      </c>
      <c r="F534" s="79">
        <f>ROUNDDOWN(E534*(1+F536)*(1+F535),0)</f>
        <v>3395</v>
      </c>
      <c r="G534" s="79">
        <f>ROUNDDOWN(F534*(1+G536)*(1+G535),0)</f>
        <v>3530</v>
      </c>
      <c r="H534" s="79">
        <f>ROUNDDOWN(G534*(1+H536)*(1+H535),0)</f>
        <v>3671</v>
      </c>
    </row>
    <row r="535" spans="2:8" outlineLevel="2" x14ac:dyDescent="0.2">
      <c r="B535" s="724" t="s">
        <v>302</v>
      </c>
      <c r="C535" s="129">
        <f>+Supuestos!$D$14</f>
        <v>4.1000000000000002E-2</v>
      </c>
      <c r="D535" s="129">
        <f>+Supuestos!$E$14</f>
        <v>0.04</v>
      </c>
      <c r="E535" s="129">
        <f>+Supuestos!$F$14</f>
        <v>0.04</v>
      </c>
      <c r="F535" s="129">
        <f>+Supuestos!$G$14</f>
        <v>0.04</v>
      </c>
      <c r="G535" s="129">
        <f>+Supuestos!$H$14</f>
        <v>0.04</v>
      </c>
      <c r="H535" s="129">
        <f>+Supuestos!$I$14</f>
        <v>0.04</v>
      </c>
    </row>
    <row r="536" spans="2:8" outlineLevel="2" x14ac:dyDescent="0.2">
      <c r="B536" s="724" t="s">
        <v>303</v>
      </c>
      <c r="C536" s="79"/>
      <c r="D536" s="275">
        <v>0</v>
      </c>
      <c r="E536" s="275">
        <v>0</v>
      </c>
      <c r="F536" s="275">
        <v>0</v>
      </c>
      <c r="G536" s="275">
        <v>0</v>
      </c>
      <c r="H536" s="275">
        <v>0</v>
      </c>
    </row>
    <row r="537" spans="2:8" outlineLevel="2" x14ac:dyDescent="0.2">
      <c r="B537" s="722" t="s">
        <v>249</v>
      </c>
      <c r="C537" s="79">
        <f>+O160</f>
        <v>3078</v>
      </c>
      <c r="D537" s="79">
        <f>+C537*(1+D539)*(1+C538)</f>
        <v>3179.5739999999996</v>
      </c>
      <c r="E537" s="79">
        <f>+D537*(1+E539)*(1+D538)</f>
        <v>3294.0386639999997</v>
      </c>
      <c r="F537" s="79">
        <f>+E537*(1+F539)*(1+E538)</f>
        <v>3432.3882878879999</v>
      </c>
      <c r="G537" s="79">
        <f>+F537*(1+G539)*(1+F538)</f>
        <v>3597.1429257066243</v>
      </c>
      <c r="H537" s="79">
        <f>+G537*(1+H539)*(1+G538)</f>
        <v>3791.3886436947823</v>
      </c>
    </row>
    <row r="538" spans="2:8" outlineLevel="2" x14ac:dyDescent="0.2">
      <c r="B538" s="724" t="s">
        <v>304</v>
      </c>
      <c r="C538" s="129">
        <f>+Supuestos!$D$13</f>
        <v>3.3000000000000002E-2</v>
      </c>
      <c r="D538" s="129">
        <f>+Supuestos!$E$13</f>
        <v>3.5999999999999997E-2</v>
      </c>
      <c r="E538" s="129">
        <f>+Supuestos!$F$13</f>
        <v>4.2000000000000003E-2</v>
      </c>
      <c r="F538" s="129">
        <f>+Supuestos!$G$13</f>
        <v>4.8000000000000001E-2</v>
      </c>
      <c r="G538" s="129">
        <f>+Supuestos!$H$13</f>
        <v>5.3999999999999999E-2</v>
      </c>
      <c r="H538" s="129">
        <f>+Supuestos!$I$13</f>
        <v>0.06</v>
      </c>
    </row>
    <row r="539" spans="2:8" outlineLevel="2" x14ac:dyDescent="0.2">
      <c r="B539" s="724" t="s">
        <v>282</v>
      </c>
      <c r="C539" s="79"/>
      <c r="D539" s="275">
        <v>0</v>
      </c>
      <c r="E539" s="275">
        <v>0</v>
      </c>
      <c r="F539" s="275">
        <v>0</v>
      </c>
      <c r="G539" s="275">
        <v>0</v>
      </c>
      <c r="H539" s="275">
        <v>0</v>
      </c>
    </row>
    <row r="540" spans="2:8" ht="15" outlineLevel="2" x14ac:dyDescent="0.25">
      <c r="B540" s="725" t="s">
        <v>1</v>
      </c>
      <c r="C540" s="136">
        <f t="shared" ref="C540:H540" si="525">+C537*C534</f>
        <v>9295313.7599999979</v>
      </c>
      <c r="D540" s="136">
        <f t="shared" si="525"/>
        <v>9983862.3599999994</v>
      </c>
      <c r="E540" s="136">
        <f t="shared" si="525"/>
        <v>10755036.23796</v>
      </c>
      <c r="F540" s="136">
        <f t="shared" si="525"/>
        <v>11652958.23737976</v>
      </c>
      <c r="G540" s="136">
        <f t="shared" si="525"/>
        <v>12697914.527744384</v>
      </c>
      <c r="H540" s="136">
        <f t="shared" si="525"/>
        <v>13918187.711003546</v>
      </c>
    </row>
    <row r="541" spans="2:8" ht="15" outlineLevel="1" x14ac:dyDescent="0.25">
      <c r="B541" s="723" t="str">
        <f>+B164</f>
        <v>Pimenton</v>
      </c>
      <c r="C541" s="128"/>
      <c r="D541" s="84"/>
      <c r="E541" s="84"/>
      <c r="F541" s="84"/>
      <c r="G541" s="84"/>
      <c r="H541" s="84"/>
    </row>
    <row r="542" spans="2:8" outlineLevel="2" x14ac:dyDescent="0.2">
      <c r="B542" s="724" t="s">
        <v>283</v>
      </c>
      <c r="C542" s="79">
        <f>+O165</f>
        <v>3214.4399999999991</v>
      </c>
      <c r="D542" s="79">
        <f>ROUNDDOWN(C542*(1+D544)*(1+D543),0)</f>
        <v>3343</v>
      </c>
      <c r="E542" s="79">
        <f>ROUNDDOWN(D542*(1+E544)*(1+E543),0)</f>
        <v>3476</v>
      </c>
      <c r="F542" s="79">
        <f>ROUNDDOWN(E542*(1+F544)*(1+F543),0)</f>
        <v>3615</v>
      </c>
      <c r="G542" s="79">
        <f>ROUNDDOWN(F542*(1+G544)*(1+G543),0)</f>
        <v>3759</v>
      </c>
      <c r="H542" s="79">
        <f>ROUNDDOWN(G542*(1+H544)*(1+H543),0)</f>
        <v>3909</v>
      </c>
    </row>
    <row r="543" spans="2:8" outlineLevel="2" x14ac:dyDescent="0.2">
      <c r="B543" s="724" t="s">
        <v>302</v>
      </c>
      <c r="C543" s="129">
        <f>+Supuestos!$D$14</f>
        <v>4.1000000000000002E-2</v>
      </c>
      <c r="D543" s="129">
        <f>+Supuestos!$E$14</f>
        <v>0.04</v>
      </c>
      <c r="E543" s="129">
        <f>+Supuestos!$F$14</f>
        <v>0.04</v>
      </c>
      <c r="F543" s="129">
        <f>+Supuestos!$G$14</f>
        <v>0.04</v>
      </c>
      <c r="G543" s="129">
        <f>+Supuestos!$H$14</f>
        <v>0.04</v>
      </c>
      <c r="H543" s="129">
        <f>+Supuestos!$I$14</f>
        <v>0.04</v>
      </c>
    </row>
    <row r="544" spans="2:8" outlineLevel="2" x14ac:dyDescent="0.2">
      <c r="B544" s="724" t="s">
        <v>303</v>
      </c>
      <c r="C544" s="79"/>
      <c r="D544" s="275">
        <v>0</v>
      </c>
      <c r="E544" s="275">
        <v>0</v>
      </c>
      <c r="F544" s="275">
        <v>0</v>
      </c>
      <c r="G544" s="275">
        <v>0</v>
      </c>
      <c r="H544" s="275">
        <v>0</v>
      </c>
    </row>
    <row r="545" spans="2:8" outlineLevel="2" x14ac:dyDescent="0.2">
      <c r="B545" s="722" t="s">
        <v>249</v>
      </c>
      <c r="C545" s="79">
        <f>+O168</f>
        <v>3214.46</v>
      </c>
      <c r="D545" s="79">
        <f>+C545*(1+D547)*(1+C546)</f>
        <v>3320.5371799999998</v>
      </c>
      <c r="E545" s="79">
        <f>+D545*(1+E547)*(1+D546)</f>
        <v>3440.0765184799998</v>
      </c>
      <c r="F545" s="79">
        <f>+E545*(1+F547)*(1+E546)</f>
        <v>3584.5597322561598</v>
      </c>
      <c r="G545" s="79">
        <f>+F545*(1+G547)*(1+F546)</f>
        <v>3756.6185994044558</v>
      </c>
      <c r="H545" s="79">
        <f>+G545*(1+H547)*(1+G546)</f>
        <v>3959.4760037722967</v>
      </c>
    </row>
    <row r="546" spans="2:8" outlineLevel="2" x14ac:dyDescent="0.2">
      <c r="B546" s="724" t="s">
        <v>304</v>
      </c>
      <c r="C546" s="129">
        <f>+Supuestos!$D$13</f>
        <v>3.3000000000000002E-2</v>
      </c>
      <c r="D546" s="129">
        <f>+Supuestos!$E$13</f>
        <v>3.5999999999999997E-2</v>
      </c>
      <c r="E546" s="129">
        <f>+Supuestos!$F$13</f>
        <v>4.2000000000000003E-2</v>
      </c>
      <c r="F546" s="129">
        <f>+Supuestos!$G$13</f>
        <v>4.8000000000000001E-2</v>
      </c>
      <c r="G546" s="129">
        <f>+Supuestos!$H$13</f>
        <v>5.3999999999999999E-2</v>
      </c>
      <c r="H546" s="129">
        <f>+Supuestos!$I$13</f>
        <v>0.06</v>
      </c>
    </row>
    <row r="547" spans="2:8" outlineLevel="2" x14ac:dyDescent="0.2">
      <c r="B547" s="724" t="s">
        <v>282</v>
      </c>
      <c r="C547" s="79"/>
      <c r="D547" s="275">
        <v>0</v>
      </c>
      <c r="E547" s="275">
        <v>0</v>
      </c>
      <c r="F547" s="275">
        <v>0</v>
      </c>
      <c r="G547" s="275">
        <v>0</v>
      </c>
      <c r="H547" s="275">
        <v>0</v>
      </c>
    </row>
    <row r="548" spans="2:8" ht="15" outlineLevel="2" x14ac:dyDescent="0.25">
      <c r="B548" s="725" t="s">
        <v>1</v>
      </c>
      <c r="C548" s="136">
        <f t="shared" ref="C548:H548" si="526">+C545*C542</f>
        <v>10332688.802399997</v>
      </c>
      <c r="D548" s="136">
        <f t="shared" si="526"/>
        <v>11100555.792739999</v>
      </c>
      <c r="E548" s="136">
        <f t="shared" si="526"/>
        <v>11957705.97823648</v>
      </c>
      <c r="F548" s="136">
        <f t="shared" si="526"/>
        <v>12958183.432106018</v>
      </c>
      <c r="G548" s="136">
        <f t="shared" si="526"/>
        <v>14121129.315161349</v>
      </c>
      <c r="H548" s="136">
        <f t="shared" si="526"/>
        <v>15477591.698745908</v>
      </c>
    </row>
    <row r="549" spans="2:8" ht="15" outlineLevel="1" x14ac:dyDescent="0.25">
      <c r="B549" s="723" t="str">
        <f>+B172</f>
        <v>Plátano Hartón</v>
      </c>
      <c r="C549" s="128"/>
      <c r="D549" s="84"/>
      <c r="E549" s="84"/>
      <c r="F549" s="84"/>
      <c r="G549" s="84"/>
      <c r="H549" s="84"/>
    </row>
    <row r="550" spans="2:8" outlineLevel="2" x14ac:dyDescent="0.2">
      <c r="B550" s="724" t="s">
        <v>283</v>
      </c>
      <c r="C550" s="79">
        <f>+O173</f>
        <v>144522</v>
      </c>
      <c r="D550" s="79">
        <f>ROUNDDOWN(C550*(1+D552)*(1+D551),0)</f>
        <v>150302</v>
      </c>
      <c r="E550" s="79">
        <f>ROUNDDOWN(D550*(1+E552)*(1+E551),0)</f>
        <v>156314</v>
      </c>
      <c r="F550" s="79">
        <f>ROUNDDOWN(E550*(1+F552)*(1+F551),0)</f>
        <v>162566</v>
      </c>
      <c r="G550" s="79">
        <f>ROUNDDOWN(F550*(1+G552)*(1+G551),0)</f>
        <v>169068</v>
      </c>
      <c r="H550" s="79">
        <f>ROUNDDOWN(G550*(1+H552)*(1+H551),0)</f>
        <v>175830</v>
      </c>
    </row>
    <row r="551" spans="2:8" outlineLevel="2" x14ac:dyDescent="0.2">
      <c r="B551" s="724" t="s">
        <v>302</v>
      </c>
      <c r="C551" s="129">
        <f>+Supuestos!$D$14</f>
        <v>4.1000000000000002E-2</v>
      </c>
      <c r="D551" s="129">
        <f>+Supuestos!$E$14</f>
        <v>0.04</v>
      </c>
      <c r="E551" s="129">
        <f>+Supuestos!$F$14</f>
        <v>0.04</v>
      </c>
      <c r="F551" s="129">
        <f>+Supuestos!$G$14</f>
        <v>0.04</v>
      </c>
      <c r="G551" s="129">
        <f>+Supuestos!$H$14</f>
        <v>0.04</v>
      </c>
      <c r="H551" s="129">
        <f>+Supuestos!$I$14</f>
        <v>0.04</v>
      </c>
    </row>
    <row r="552" spans="2:8" outlineLevel="2" x14ac:dyDescent="0.2">
      <c r="B552" s="724" t="s">
        <v>303</v>
      </c>
      <c r="C552" s="79"/>
      <c r="D552" s="275">
        <v>0</v>
      </c>
      <c r="E552" s="275">
        <v>0</v>
      </c>
      <c r="F552" s="275">
        <v>0</v>
      </c>
      <c r="G552" s="275">
        <v>0</v>
      </c>
      <c r="H552" s="275">
        <v>0</v>
      </c>
    </row>
    <row r="553" spans="2:8" outlineLevel="2" x14ac:dyDescent="0.2">
      <c r="B553" s="722" t="s">
        <v>249</v>
      </c>
      <c r="C553" s="79">
        <f>+O176</f>
        <v>1505.14</v>
      </c>
      <c r="D553" s="79">
        <f>+C553*(1+D555)*(1+C554)</f>
        <v>1554.80962</v>
      </c>
      <c r="E553" s="79">
        <f>+D553*(1+E555)*(1+D554)</f>
        <v>1610.7827663200001</v>
      </c>
      <c r="F553" s="79">
        <f>+E553*(1+F555)*(1+E554)</f>
        <v>1678.4356425054402</v>
      </c>
      <c r="G553" s="79">
        <f>+F553*(1+G555)*(1+F554)</f>
        <v>1759.0005533457015</v>
      </c>
      <c r="H553" s="79">
        <f>+G553*(1+H555)*(1+G554)</f>
        <v>1853.9865832263695</v>
      </c>
    </row>
    <row r="554" spans="2:8" outlineLevel="2" x14ac:dyDescent="0.2">
      <c r="B554" s="724" t="s">
        <v>304</v>
      </c>
      <c r="C554" s="129">
        <f>+Supuestos!$D$13</f>
        <v>3.3000000000000002E-2</v>
      </c>
      <c r="D554" s="129">
        <f>+Supuestos!$E$13</f>
        <v>3.5999999999999997E-2</v>
      </c>
      <c r="E554" s="129">
        <f>+Supuestos!$F$13</f>
        <v>4.2000000000000003E-2</v>
      </c>
      <c r="F554" s="129">
        <f>+Supuestos!$G$13</f>
        <v>4.8000000000000001E-2</v>
      </c>
      <c r="G554" s="129">
        <f>+Supuestos!$H$13</f>
        <v>5.3999999999999999E-2</v>
      </c>
      <c r="H554" s="129">
        <f>+Supuestos!$I$13</f>
        <v>0.06</v>
      </c>
    </row>
    <row r="555" spans="2:8" outlineLevel="2" x14ac:dyDescent="0.2">
      <c r="B555" s="724" t="s">
        <v>282</v>
      </c>
      <c r="C555" s="79"/>
      <c r="D555" s="275">
        <v>0</v>
      </c>
      <c r="E555" s="275">
        <v>0</v>
      </c>
      <c r="F555" s="275">
        <v>0</v>
      </c>
      <c r="G555" s="275">
        <v>0</v>
      </c>
      <c r="H555" s="275">
        <v>0</v>
      </c>
    </row>
    <row r="556" spans="2:8" ht="15" outlineLevel="2" x14ac:dyDescent="0.25">
      <c r="B556" s="725" t="s">
        <v>1</v>
      </c>
      <c r="C556" s="136">
        <f t="shared" ref="C556:H556" si="527">+C553*C550</f>
        <v>217525843.08000001</v>
      </c>
      <c r="D556" s="136">
        <f t="shared" si="527"/>
        <v>233690995.50523999</v>
      </c>
      <c r="E556" s="136">
        <f t="shared" si="527"/>
        <v>251787897.33454448</v>
      </c>
      <c r="F556" s="136">
        <f t="shared" si="527"/>
        <v>272856568.6595394</v>
      </c>
      <c r="G556" s="136">
        <f t="shared" si="527"/>
        <v>297390705.55305105</v>
      </c>
      <c r="H556" s="136">
        <f t="shared" si="527"/>
        <v>325986460.92869252</v>
      </c>
    </row>
    <row r="557" spans="2:8" ht="15" outlineLevel="1" x14ac:dyDescent="0.25">
      <c r="B557" s="723" t="str">
        <f>+B180</f>
        <v>Remolacha</v>
      </c>
      <c r="C557" s="128"/>
      <c r="D557" s="84"/>
      <c r="E557" s="84"/>
      <c r="F557" s="84"/>
      <c r="G557" s="84"/>
      <c r="H557" s="84"/>
    </row>
    <row r="558" spans="2:8" outlineLevel="2" x14ac:dyDescent="0.2">
      <c r="B558" s="724" t="s">
        <v>283</v>
      </c>
      <c r="C558" s="79">
        <f>+O181</f>
        <v>1870.0799999999997</v>
      </c>
      <c r="D558" s="79">
        <f>ROUNDDOWN(C558*(1+D560)*(1+D559),0)</f>
        <v>1944</v>
      </c>
      <c r="E558" s="79">
        <f>ROUNDDOWN(D558*(1+E560)*(1+E559),0)</f>
        <v>2021</v>
      </c>
      <c r="F558" s="79">
        <f>ROUNDDOWN(E558*(1+F560)*(1+F559),0)</f>
        <v>2101</v>
      </c>
      <c r="G558" s="79">
        <f>ROUNDDOWN(F558*(1+G560)*(1+G559),0)</f>
        <v>2185</v>
      </c>
      <c r="H558" s="79">
        <f>ROUNDDOWN(G558*(1+H560)*(1+H559),0)</f>
        <v>2272</v>
      </c>
    </row>
    <row r="559" spans="2:8" outlineLevel="2" x14ac:dyDescent="0.2">
      <c r="B559" s="724" t="s">
        <v>302</v>
      </c>
      <c r="C559" s="129">
        <f>+Supuestos!$D$14</f>
        <v>4.1000000000000002E-2</v>
      </c>
      <c r="D559" s="129">
        <f>+Supuestos!$E$14</f>
        <v>0.04</v>
      </c>
      <c r="E559" s="129">
        <f>+Supuestos!$F$14</f>
        <v>0.04</v>
      </c>
      <c r="F559" s="129">
        <f>+Supuestos!$G$14</f>
        <v>0.04</v>
      </c>
      <c r="G559" s="129">
        <f>+Supuestos!$H$14</f>
        <v>0.04</v>
      </c>
      <c r="H559" s="129">
        <f>+Supuestos!$I$14</f>
        <v>0.04</v>
      </c>
    </row>
    <row r="560" spans="2:8" outlineLevel="2" x14ac:dyDescent="0.2">
      <c r="B560" s="724" t="s">
        <v>303</v>
      </c>
      <c r="C560" s="79"/>
      <c r="D560" s="275">
        <v>0</v>
      </c>
      <c r="E560" s="275">
        <v>0</v>
      </c>
      <c r="F560" s="275">
        <v>0</v>
      </c>
      <c r="G560" s="275">
        <v>0</v>
      </c>
      <c r="H560" s="275">
        <v>0</v>
      </c>
    </row>
    <row r="561" spans="2:8" outlineLevel="2" x14ac:dyDescent="0.2">
      <c r="B561" s="722" t="s">
        <v>249</v>
      </c>
      <c r="C561" s="79">
        <f>+O184</f>
        <v>1436.4</v>
      </c>
      <c r="D561" s="79">
        <f>+C561*(1+D563)*(1+C562)</f>
        <v>1483.8011999999999</v>
      </c>
      <c r="E561" s="79">
        <f>+D561*(1+E563)*(1+D562)</f>
        <v>1537.2180432</v>
      </c>
      <c r="F561" s="79">
        <f>+E561*(1+F563)*(1+E562)</f>
        <v>1601.7812010144</v>
      </c>
      <c r="G561" s="79">
        <f>+F561*(1+G563)*(1+F562)</f>
        <v>1678.6666986630912</v>
      </c>
      <c r="H561" s="79">
        <f>+G561*(1+H563)*(1+G562)</f>
        <v>1769.3147003908982</v>
      </c>
    </row>
    <row r="562" spans="2:8" outlineLevel="2" x14ac:dyDescent="0.2">
      <c r="B562" s="724" t="s">
        <v>304</v>
      </c>
      <c r="C562" s="129">
        <f>+Supuestos!$D$13</f>
        <v>3.3000000000000002E-2</v>
      </c>
      <c r="D562" s="129">
        <f>+Supuestos!$E$13</f>
        <v>3.5999999999999997E-2</v>
      </c>
      <c r="E562" s="129">
        <f>+Supuestos!$F$13</f>
        <v>4.2000000000000003E-2</v>
      </c>
      <c r="F562" s="129">
        <f>+Supuestos!$G$13</f>
        <v>4.8000000000000001E-2</v>
      </c>
      <c r="G562" s="129">
        <f>+Supuestos!$H$13</f>
        <v>5.3999999999999999E-2</v>
      </c>
      <c r="H562" s="129">
        <f>+Supuestos!$I$13</f>
        <v>0.06</v>
      </c>
    </row>
    <row r="563" spans="2:8" outlineLevel="2" x14ac:dyDescent="0.2">
      <c r="B563" s="724" t="s">
        <v>282</v>
      </c>
      <c r="C563" s="79"/>
      <c r="D563" s="275">
        <v>0</v>
      </c>
      <c r="E563" s="275">
        <v>0</v>
      </c>
      <c r="F563" s="275">
        <v>0</v>
      </c>
      <c r="G563" s="275">
        <v>0</v>
      </c>
      <c r="H563" s="275">
        <v>0</v>
      </c>
    </row>
    <row r="564" spans="2:8" ht="15" outlineLevel="2" x14ac:dyDescent="0.25">
      <c r="B564" s="725" t="s">
        <v>1</v>
      </c>
      <c r="C564" s="136">
        <f t="shared" ref="C564:H564" si="528">+C561*C558</f>
        <v>2686182.9119999995</v>
      </c>
      <c r="D564" s="136">
        <f t="shared" si="528"/>
        <v>2884509.5327999997</v>
      </c>
      <c r="E564" s="136">
        <f t="shared" si="528"/>
        <v>3106717.6653072</v>
      </c>
      <c r="F564" s="136">
        <f t="shared" si="528"/>
        <v>3365342.3033312545</v>
      </c>
      <c r="G564" s="136">
        <f t="shared" si="528"/>
        <v>3667886.7365788543</v>
      </c>
      <c r="H564" s="136">
        <f t="shared" si="528"/>
        <v>4019882.9992881208</v>
      </c>
    </row>
    <row r="565" spans="2:8" ht="15" outlineLevel="1" x14ac:dyDescent="0.25">
      <c r="B565" s="723" t="str">
        <f>+B188</f>
        <v>Tomate chonto regional</v>
      </c>
      <c r="C565" s="128"/>
      <c r="D565" s="84"/>
      <c r="E565" s="84"/>
      <c r="F565" s="84"/>
      <c r="G565" s="84"/>
      <c r="H565" s="84"/>
    </row>
    <row r="566" spans="2:8" outlineLevel="2" x14ac:dyDescent="0.2">
      <c r="B566" s="724" t="s">
        <v>283</v>
      </c>
      <c r="C566" s="79">
        <f>+O189</f>
        <v>36616.92</v>
      </c>
      <c r="D566" s="79">
        <f>ROUNDDOWN(C566*(1+D568)*(1+D567),0)</f>
        <v>38081</v>
      </c>
      <c r="E566" s="79">
        <f>ROUNDDOWN(D566*(1+E568)*(1+E567),0)</f>
        <v>39604</v>
      </c>
      <c r="F566" s="79">
        <f>ROUNDDOWN(E566*(1+F568)*(1+F567),0)</f>
        <v>41188</v>
      </c>
      <c r="G566" s="79">
        <f>ROUNDDOWN(F566*(1+G568)*(1+G567),0)</f>
        <v>42835</v>
      </c>
      <c r="H566" s="79">
        <f>ROUNDDOWN(G566*(1+H568)*(1+H567),0)</f>
        <v>44548</v>
      </c>
    </row>
    <row r="567" spans="2:8" outlineLevel="2" x14ac:dyDescent="0.2">
      <c r="B567" s="724" t="s">
        <v>302</v>
      </c>
      <c r="C567" s="129">
        <f>+Supuestos!$D$14</f>
        <v>4.1000000000000002E-2</v>
      </c>
      <c r="D567" s="129">
        <f>+Supuestos!$E$14</f>
        <v>0.04</v>
      </c>
      <c r="E567" s="129">
        <f>+Supuestos!$F$14</f>
        <v>0.04</v>
      </c>
      <c r="F567" s="129">
        <f>+Supuestos!$G$14</f>
        <v>0.04</v>
      </c>
      <c r="G567" s="129">
        <f>+Supuestos!$H$14</f>
        <v>0.04</v>
      </c>
      <c r="H567" s="129">
        <f>+Supuestos!$I$14</f>
        <v>0.04</v>
      </c>
    </row>
    <row r="568" spans="2:8" outlineLevel="2" x14ac:dyDescent="0.2">
      <c r="B568" s="724" t="s">
        <v>303</v>
      </c>
      <c r="C568" s="79"/>
      <c r="D568" s="275">
        <v>0</v>
      </c>
      <c r="E568" s="275">
        <v>0</v>
      </c>
      <c r="F568" s="275">
        <v>0</v>
      </c>
      <c r="G568" s="275">
        <v>0</v>
      </c>
      <c r="H568" s="275">
        <v>0</v>
      </c>
    </row>
    <row r="569" spans="2:8" outlineLevel="2" x14ac:dyDescent="0.2">
      <c r="B569" s="722" t="s">
        <v>249</v>
      </c>
      <c r="C569" s="79">
        <f>+O192</f>
        <v>2565</v>
      </c>
      <c r="D569" s="79">
        <f>+C569*(1+D571)*(1+C570)</f>
        <v>2649.645</v>
      </c>
      <c r="E569" s="79">
        <f>+D569*(1+E571)*(1+D570)</f>
        <v>2745.0322200000001</v>
      </c>
      <c r="F569" s="79">
        <f>+E569*(1+F571)*(1+E570)</f>
        <v>2860.3235732400003</v>
      </c>
      <c r="G569" s="79">
        <f>+F569*(1+G571)*(1+F570)</f>
        <v>2997.6191047555203</v>
      </c>
      <c r="H569" s="79">
        <f>+G569*(1+H571)*(1+G570)</f>
        <v>3159.4905364123188</v>
      </c>
    </row>
    <row r="570" spans="2:8" outlineLevel="2" x14ac:dyDescent="0.2">
      <c r="B570" s="724" t="s">
        <v>304</v>
      </c>
      <c r="C570" s="129">
        <f>+Supuestos!$D$13</f>
        <v>3.3000000000000002E-2</v>
      </c>
      <c r="D570" s="129">
        <f>+Supuestos!$E$13</f>
        <v>3.5999999999999997E-2</v>
      </c>
      <c r="E570" s="129">
        <f>+Supuestos!$F$13</f>
        <v>4.2000000000000003E-2</v>
      </c>
      <c r="F570" s="129">
        <f>+Supuestos!$G$13</f>
        <v>4.8000000000000001E-2</v>
      </c>
      <c r="G570" s="129">
        <f>+Supuestos!$H$13</f>
        <v>5.3999999999999999E-2</v>
      </c>
      <c r="H570" s="129">
        <f>+Supuestos!$I$13</f>
        <v>0.06</v>
      </c>
    </row>
    <row r="571" spans="2:8" outlineLevel="2" x14ac:dyDescent="0.2">
      <c r="B571" s="724" t="s">
        <v>282</v>
      </c>
      <c r="C571" s="79"/>
      <c r="D571" s="275">
        <v>0</v>
      </c>
      <c r="E571" s="275">
        <v>0</v>
      </c>
      <c r="F571" s="275">
        <v>0</v>
      </c>
      <c r="G571" s="275">
        <v>0</v>
      </c>
      <c r="H571" s="275">
        <v>0</v>
      </c>
    </row>
    <row r="572" spans="2:8" ht="15" outlineLevel="2" x14ac:dyDescent="0.25">
      <c r="B572" s="725" t="s">
        <v>1</v>
      </c>
      <c r="C572" s="136">
        <f t="shared" ref="C572:H572" si="529">+C569*C566</f>
        <v>93922399.799999997</v>
      </c>
      <c r="D572" s="136">
        <f t="shared" si="529"/>
        <v>100901131.245</v>
      </c>
      <c r="E572" s="136">
        <f t="shared" si="529"/>
        <v>108714256.04087999</v>
      </c>
      <c r="F572" s="136">
        <f t="shared" si="529"/>
        <v>117811007.33460914</v>
      </c>
      <c r="G572" s="136">
        <f t="shared" si="529"/>
        <v>128403014.35220271</v>
      </c>
      <c r="H572" s="136">
        <f t="shared" si="529"/>
        <v>140748984.41609597</v>
      </c>
    </row>
    <row r="573" spans="2:8" ht="15" outlineLevel="1" x14ac:dyDescent="0.25">
      <c r="B573" s="723" t="str">
        <f>+B196</f>
        <v>Tomate riñon</v>
      </c>
      <c r="C573" s="128"/>
      <c r="D573" s="84"/>
      <c r="E573" s="84"/>
      <c r="F573" s="84"/>
      <c r="G573" s="84"/>
      <c r="H573" s="84"/>
    </row>
    <row r="574" spans="2:8" outlineLevel="2" x14ac:dyDescent="0.2">
      <c r="B574" s="724" t="s">
        <v>283</v>
      </c>
      <c r="C574" s="79">
        <f>+O197</f>
        <v>6039.8399999999992</v>
      </c>
      <c r="D574" s="79">
        <f>ROUNDDOWN(C574*(1+D576)*(1+D575),0)</f>
        <v>6281</v>
      </c>
      <c r="E574" s="79">
        <f>ROUNDDOWN(D574*(1+E576)*(1+E575),0)</f>
        <v>6532</v>
      </c>
      <c r="F574" s="79">
        <f>ROUNDDOWN(E574*(1+F576)*(1+F575),0)</f>
        <v>6793</v>
      </c>
      <c r="G574" s="79">
        <f>ROUNDDOWN(F574*(1+G576)*(1+G575),0)</f>
        <v>7064</v>
      </c>
      <c r="H574" s="79">
        <f>ROUNDDOWN(G574*(1+H576)*(1+H575),0)</f>
        <v>7346</v>
      </c>
    </row>
    <row r="575" spans="2:8" outlineLevel="2" x14ac:dyDescent="0.2">
      <c r="B575" s="724" t="s">
        <v>302</v>
      </c>
      <c r="C575" s="129">
        <f>+Supuestos!$D$14</f>
        <v>4.1000000000000002E-2</v>
      </c>
      <c r="D575" s="129">
        <f>+Supuestos!$E$14</f>
        <v>0.04</v>
      </c>
      <c r="E575" s="129">
        <f>+Supuestos!$F$14</f>
        <v>0.04</v>
      </c>
      <c r="F575" s="129">
        <f>+Supuestos!$G$14</f>
        <v>0.04</v>
      </c>
      <c r="G575" s="129">
        <f>+Supuestos!$H$14</f>
        <v>0.04</v>
      </c>
      <c r="H575" s="129">
        <f>+Supuestos!$I$14</f>
        <v>0.04</v>
      </c>
    </row>
    <row r="576" spans="2:8" outlineLevel="2" x14ac:dyDescent="0.2">
      <c r="B576" s="724" t="s">
        <v>303</v>
      </c>
      <c r="C576" s="79"/>
      <c r="D576" s="275">
        <v>0</v>
      </c>
      <c r="E576" s="275">
        <v>0</v>
      </c>
      <c r="F576" s="275">
        <v>0</v>
      </c>
      <c r="G576" s="275">
        <v>0</v>
      </c>
      <c r="H576" s="275">
        <v>0</v>
      </c>
    </row>
    <row r="577" spans="2:8" outlineLevel="2" x14ac:dyDescent="0.2">
      <c r="B577" s="722" t="s">
        <v>249</v>
      </c>
      <c r="C577" s="79">
        <f>+O200</f>
        <v>3591</v>
      </c>
      <c r="D577" s="79">
        <f>+C577*(1+D579)*(1+C578)</f>
        <v>3709.5029999999997</v>
      </c>
      <c r="E577" s="79">
        <f>+D577*(1+E579)*(1+D578)</f>
        <v>3843.0451079999998</v>
      </c>
      <c r="F577" s="79">
        <f>+E577*(1+F579)*(1+E578)</f>
        <v>4004.453002536</v>
      </c>
      <c r="G577" s="79">
        <f>+F577*(1+G579)*(1+F578)</f>
        <v>4196.6667466577283</v>
      </c>
      <c r="H577" s="79">
        <f>+G577*(1+H579)*(1+G578)</f>
        <v>4423.2867509772459</v>
      </c>
    </row>
    <row r="578" spans="2:8" outlineLevel="2" x14ac:dyDescent="0.2">
      <c r="B578" s="724" t="s">
        <v>304</v>
      </c>
      <c r="C578" s="129">
        <f>+Supuestos!$D$13</f>
        <v>3.3000000000000002E-2</v>
      </c>
      <c r="D578" s="129">
        <f>+Supuestos!$E$13</f>
        <v>3.5999999999999997E-2</v>
      </c>
      <c r="E578" s="129">
        <f>+Supuestos!$F$13</f>
        <v>4.2000000000000003E-2</v>
      </c>
      <c r="F578" s="129">
        <f>+Supuestos!$G$13</f>
        <v>4.8000000000000001E-2</v>
      </c>
      <c r="G578" s="129">
        <f>+Supuestos!$H$13</f>
        <v>5.3999999999999999E-2</v>
      </c>
      <c r="H578" s="129">
        <f>+Supuestos!$I$13</f>
        <v>0.06</v>
      </c>
    </row>
    <row r="579" spans="2:8" outlineLevel="2" x14ac:dyDescent="0.2">
      <c r="B579" s="724" t="s">
        <v>282</v>
      </c>
      <c r="C579" s="79"/>
      <c r="D579" s="275">
        <v>0</v>
      </c>
      <c r="E579" s="275">
        <v>0</v>
      </c>
      <c r="F579" s="275">
        <v>0</v>
      </c>
      <c r="G579" s="275">
        <v>0</v>
      </c>
      <c r="H579" s="275">
        <v>0</v>
      </c>
    </row>
    <row r="580" spans="2:8" ht="15" outlineLevel="2" x14ac:dyDescent="0.25">
      <c r="B580" s="725" t="s">
        <v>1</v>
      </c>
      <c r="C580" s="136">
        <f t="shared" ref="C580:H580" si="530">+C577*C574</f>
        <v>21689065.439999998</v>
      </c>
      <c r="D580" s="136">
        <f t="shared" si="530"/>
        <v>23299388.342999998</v>
      </c>
      <c r="E580" s="136">
        <f t="shared" si="530"/>
        <v>25102770.645455997</v>
      </c>
      <c r="F580" s="136">
        <f t="shared" si="530"/>
        <v>27202249.246227048</v>
      </c>
      <c r="G580" s="136">
        <f t="shared" si="530"/>
        <v>29645253.898390193</v>
      </c>
      <c r="H580" s="136">
        <f t="shared" si="530"/>
        <v>32493464.472678848</v>
      </c>
    </row>
    <row r="581" spans="2:8" ht="15" outlineLevel="1" x14ac:dyDescent="0.25">
      <c r="B581" s="723" t="str">
        <f>+B204</f>
        <v>Yuca</v>
      </c>
      <c r="C581" s="128"/>
      <c r="D581" s="84"/>
      <c r="E581" s="84"/>
      <c r="F581" s="84"/>
      <c r="G581" s="84"/>
      <c r="H581" s="84"/>
    </row>
    <row r="582" spans="2:8" outlineLevel="2" x14ac:dyDescent="0.2">
      <c r="B582" s="724" t="s">
        <v>283</v>
      </c>
      <c r="C582" s="79">
        <f>+O205</f>
        <v>106941</v>
      </c>
      <c r="D582" s="79">
        <f>ROUNDDOWN(C582*(1+D584)*(1+D583),0)</f>
        <v>111218</v>
      </c>
      <c r="E582" s="79">
        <f>ROUNDDOWN(D582*(1+E584)*(1+E583),0)</f>
        <v>115666</v>
      </c>
      <c r="F582" s="79">
        <f>ROUNDDOWN(E582*(1+F584)*(1+F583),0)</f>
        <v>120292</v>
      </c>
      <c r="G582" s="79">
        <f>ROUNDDOWN(F582*(1+G584)*(1+G583),0)</f>
        <v>125103</v>
      </c>
      <c r="H582" s="79">
        <f>ROUNDDOWN(G582*(1+H584)*(1+H583),0)</f>
        <v>130107</v>
      </c>
    </row>
    <row r="583" spans="2:8" outlineLevel="2" x14ac:dyDescent="0.2">
      <c r="B583" s="724" t="s">
        <v>302</v>
      </c>
      <c r="C583" s="129">
        <f>+Supuestos!$D$14</f>
        <v>4.1000000000000002E-2</v>
      </c>
      <c r="D583" s="129">
        <f>+Supuestos!$E$14</f>
        <v>0.04</v>
      </c>
      <c r="E583" s="129">
        <f>+Supuestos!$F$14</f>
        <v>0.04</v>
      </c>
      <c r="F583" s="129">
        <f>+Supuestos!$G$14</f>
        <v>0.04</v>
      </c>
      <c r="G583" s="129">
        <f>+Supuestos!$H$14</f>
        <v>0.04</v>
      </c>
      <c r="H583" s="129">
        <f>+Supuestos!$I$14</f>
        <v>0.04</v>
      </c>
    </row>
    <row r="584" spans="2:8" outlineLevel="2" x14ac:dyDescent="0.2">
      <c r="B584" s="724" t="s">
        <v>303</v>
      </c>
      <c r="C584" s="79"/>
      <c r="D584" s="275">
        <v>0</v>
      </c>
      <c r="E584" s="275">
        <v>0</v>
      </c>
      <c r="F584" s="275">
        <v>0</v>
      </c>
      <c r="G584" s="275">
        <v>0</v>
      </c>
      <c r="H584" s="275">
        <v>0</v>
      </c>
    </row>
    <row r="585" spans="2:8" outlineLevel="2" x14ac:dyDescent="0.2">
      <c r="B585" s="722" t="s">
        <v>249</v>
      </c>
      <c r="C585" s="79">
        <f>O208</f>
        <v>1470.26</v>
      </c>
      <c r="D585" s="79">
        <f>+C585*(1+D587)*(1+C586)</f>
        <v>1518.7785799999999</v>
      </c>
      <c r="E585" s="79">
        <f>+D585*(1+E587)*(1+D586)</f>
        <v>1573.45460888</v>
      </c>
      <c r="F585" s="79">
        <f>+E585*(1+F587)*(1+E586)</f>
        <v>1639.53970245296</v>
      </c>
      <c r="G585" s="79">
        <f>+F585*(1+G587)*(1+F586)</f>
        <v>1718.2376081707021</v>
      </c>
      <c r="H585" s="79">
        <f>+G585*(1+H587)*(1+G586)</f>
        <v>1811.0224390119201</v>
      </c>
    </row>
    <row r="586" spans="2:8" outlineLevel="2" x14ac:dyDescent="0.2">
      <c r="B586" s="724" t="s">
        <v>304</v>
      </c>
      <c r="C586" s="129">
        <f>+Supuestos!$D$13</f>
        <v>3.3000000000000002E-2</v>
      </c>
      <c r="D586" s="129">
        <f>+Supuestos!$E$13</f>
        <v>3.5999999999999997E-2</v>
      </c>
      <c r="E586" s="129">
        <f>+Supuestos!$F$13</f>
        <v>4.2000000000000003E-2</v>
      </c>
      <c r="F586" s="129">
        <f>+Supuestos!$G$13</f>
        <v>4.8000000000000001E-2</v>
      </c>
      <c r="G586" s="129">
        <f>+Supuestos!$H$13</f>
        <v>5.3999999999999999E-2</v>
      </c>
      <c r="H586" s="129">
        <f>+Supuestos!$I$13</f>
        <v>0.06</v>
      </c>
    </row>
    <row r="587" spans="2:8" outlineLevel="2" x14ac:dyDescent="0.2">
      <c r="B587" s="724" t="s">
        <v>282</v>
      </c>
      <c r="C587" s="79"/>
      <c r="D587" s="275">
        <v>0</v>
      </c>
      <c r="E587" s="275">
        <v>0</v>
      </c>
      <c r="F587" s="275">
        <v>0</v>
      </c>
      <c r="G587" s="275">
        <v>0</v>
      </c>
      <c r="H587" s="275">
        <v>0</v>
      </c>
    </row>
    <row r="588" spans="2:8" ht="15" outlineLevel="2" x14ac:dyDescent="0.25">
      <c r="B588" s="725" t="s">
        <v>1</v>
      </c>
      <c r="C588" s="136">
        <f>+C585*C582</f>
        <v>157231074.66</v>
      </c>
      <c r="D588" s="136">
        <f t="shared" ref="D588:H588" si="531">+D585*D582</f>
        <v>168915516.11043999</v>
      </c>
      <c r="E588" s="136">
        <f t="shared" si="531"/>
        <v>181995200.79071409</v>
      </c>
      <c r="F588" s="136">
        <f t="shared" si="531"/>
        <v>197223509.88747147</v>
      </c>
      <c r="G588" s="136">
        <f t="shared" si="531"/>
        <v>214956679.49497935</v>
      </c>
      <c r="H588" s="136">
        <f t="shared" si="531"/>
        <v>235626696.4725239</v>
      </c>
    </row>
    <row r="589" spans="2:8" ht="15" outlineLevel="1" x14ac:dyDescent="0.25">
      <c r="B589" s="723" t="str">
        <f>+B212</f>
        <v>Zanahoria</v>
      </c>
      <c r="C589" s="128"/>
      <c r="D589" s="84"/>
      <c r="E589" s="84"/>
      <c r="F589" s="84"/>
      <c r="G589" s="84"/>
      <c r="H589" s="84"/>
    </row>
    <row r="590" spans="2:8" outlineLevel="2" x14ac:dyDescent="0.2">
      <c r="B590" s="724" t="s">
        <v>283</v>
      </c>
      <c r="C590" s="79">
        <f>+O213</f>
        <v>7480.2000000000016</v>
      </c>
      <c r="D590" s="79">
        <f>ROUNDDOWN(C590*(1+D592)*(1+D591),0)</f>
        <v>7779</v>
      </c>
      <c r="E590" s="79">
        <f>ROUNDDOWN(D590*(1+E592)*(1+E591),0)</f>
        <v>8090</v>
      </c>
      <c r="F590" s="79">
        <f>ROUNDDOWN(E590*(1+F592)*(1+F591),0)</f>
        <v>8413</v>
      </c>
      <c r="G590" s="79">
        <f>ROUNDDOWN(F590*(1+G592)*(1+G591),0)</f>
        <v>8749</v>
      </c>
      <c r="H590" s="79">
        <f>ROUNDDOWN(G590*(1+H592)*(1+H591),0)</f>
        <v>9098</v>
      </c>
    </row>
    <row r="591" spans="2:8" outlineLevel="2" x14ac:dyDescent="0.2">
      <c r="B591" s="724" t="s">
        <v>302</v>
      </c>
      <c r="C591" s="129">
        <f>+Supuestos!$D$14</f>
        <v>4.1000000000000002E-2</v>
      </c>
      <c r="D591" s="129">
        <f>+Supuestos!$E$14</f>
        <v>0.04</v>
      </c>
      <c r="E591" s="129">
        <f>+Supuestos!$F$14</f>
        <v>0.04</v>
      </c>
      <c r="F591" s="129">
        <f>+Supuestos!$G$14</f>
        <v>0.04</v>
      </c>
      <c r="G591" s="129">
        <f>+Supuestos!$H$14</f>
        <v>0.04</v>
      </c>
      <c r="H591" s="129">
        <f>+Supuestos!$I$14</f>
        <v>0.04</v>
      </c>
    </row>
    <row r="592" spans="2:8" outlineLevel="2" x14ac:dyDescent="0.2">
      <c r="B592" s="724" t="s">
        <v>303</v>
      </c>
      <c r="C592" s="79"/>
      <c r="D592" s="275">
        <v>0</v>
      </c>
      <c r="E592" s="275">
        <v>0</v>
      </c>
      <c r="F592" s="275">
        <v>0</v>
      </c>
      <c r="G592" s="275">
        <v>0</v>
      </c>
      <c r="H592" s="275">
        <v>0</v>
      </c>
    </row>
    <row r="593" spans="2:8" outlineLevel="2" x14ac:dyDescent="0.2">
      <c r="B593" s="722" t="s">
        <v>249</v>
      </c>
      <c r="C593" s="79">
        <f>+O216</f>
        <v>889.54</v>
      </c>
      <c r="D593" s="79">
        <f>+C593*(1+D595)*(1+C594)</f>
        <v>918.89481999999987</v>
      </c>
      <c r="E593" s="79">
        <f>+D593*(1+E595)*(1+D594)</f>
        <v>951.9750335199999</v>
      </c>
      <c r="F593" s="79">
        <f>+E593*(1+F595)*(1+E594)</f>
        <v>991.9579849278399</v>
      </c>
      <c r="G593" s="79">
        <f>+F593*(1+G595)*(1+F594)</f>
        <v>1039.5719682043762</v>
      </c>
      <c r="H593" s="79">
        <f>+G593*(1+H595)*(1+G594)</f>
        <v>1095.7088544874125</v>
      </c>
    </row>
    <row r="594" spans="2:8" outlineLevel="2" x14ac:dyDescent="0.2">
      <c r="B594" s="724" t="s">
        <v>304</v>
      </c>
      <c r="C594" s="129">
        <f>+Supuestos!$D$13</f>
        <v>3.3000000000000002E-2</v>
      </c>
      <c r="D594" s="129">
        <f>+Supuestos!$E$13</f>
        <v>3.5999999999999997E-2</v>
      </c>
      <c r="E594" s="129">
        <f>+Supuestos!$F$13</f>
        <v>4.2000000000000003E-2</v>
      </c>
      <c r="F594" s="129">
        <f>+Supuestos!$G$13</f>
        <v>4.8000000000000001E-2</v>
      </c>
      <c r="G594" s="129">
        <f>+Supuestos!$H$13</f>
        <v>5.3999999999999999E-2</v>
      </c>
      <c r="H594" s="129">
        <f>+Supuestos!$I$13</f>
        <v>0.06</v>
      </c>
    </row>
    <row r="595" spans="2:8" outlineLevel="2" x14ac:dyDescent="0.2">
      <c r="B595" s="724" t="s">
        <v>282</v>
      </c>
      <c r="C595" s="79"/>
      <c r="D595" s="275">
        <v>0</v>
      </c>
      <c r="E595" s="275">
        <v>0</v>
      </c>
      <c r="F595" s="275">
        <v>0</v>
      </c>
      <c r="G595" s="275">
        <v>0</v>
      </c>
      <c r="H595" s="275">
        <v>0</v>
      </c>
    </row>
    <row r="596" spans="2:8" ht="15" outlineLevel="2" x14ac:dyDescent="0.25">
      <c r="B596" s="725" t="s">
        <v>1</v>
      </c>
      <c r="C596" s="136">
        <f t="shared" ref="C596:H596" si="532">+C593*C590</f>
        <v>6653937.1080000009</v>
      </c>
      <c r="D596" s="136">
        <f t="shared" si="532"/>
        <v>7148082.804779999</v>
      </c>
      <c r="E596" s="136">
        <f t="shared" si="532"/>
        <v>7701478.0211767992</v>
      </c>
      <c r="F596" s="136">
        <f t="shared" si="532"/>
        <v>8345342.527197917</v>
      </c>
      <c r="G596" s="136">
        <f t="shared" si="532"/>
        <v>9095215.1498200875</v>
      </c>
      <c r="H596" s="136">
        <f t="shared" si="532"/>
        <v>9968759.158126479</v>
      </c>
    </row>
    <row r="597" spans="2:8" ht="15" outlineLevel="1" x14ac:dyDescent="0.25">
      <c r="B597" s="723" t="str">
        <f>+B220</f>
        <v>Aguacate Papelillo</v>
      </c>
      <c r="C597" s="128"/>
      <c r="D597" s="84"/>
      <c r="E597" s="84"/>
      <c r="F597" s="84"/>
      <c r="G597" s="84"/>
      <c r="H597" s="84"/>
    </row>
    <row r="598" spans="2:8" outlineLevel="2" x14ac:dyDescent="0.2">
      <c r="B598" s="724" t="s">
        <v>283</v>
      </c>
      <c r="C598" s="79">
        <f>+O221</f>
        <v>23509.199999999997</v>
      </c>
      <c r="D598" s="79">
        <f>ROUNDDOWN(C598*(1+D600)*(1+D599),0)</f>
        <v>24449</v>
      </c>
      <c r="E598" s="79">
        <f>ROUNDDOWN(D598*(1+E600)*(1+E599),0)</f>
        <v>25426</v>
      </c>
      <c r="F598" s="79">
        <f>ROUNDDOWN(E598*(1+F600)*(1+F599),0)</f>
        <v>26443</v>
      </c>
      <c r="G598" s="79">
        <f>ROUNDDOWN(F598*(1+G600)*(1+G599),0)</f>
        <v>27500</v>
      </c>
      <c r="H598" s="79">
        <f>ROUNDDOWN(G598*(1+H600)*(1+H599),0)</f>
        <v>28600</v>
      </c>
    </row>
    <row r="599" spans="2:8" outlineLevel="2" x14ac:dyDescent="0.2">
      <c r="B599" s="724" t="s">
        <v>302</v>
      </c>
      <c r="C599" s="129">
        <f>+Supuestos!$D$14</f>
        <v>4.1000000000000002E-2</v>
      </c>
      <c r="D599" s="129">
        <f>+Supuestos!$E$14</f>
        <v>0.04</v>
      </c>
      <c r="E599" s="129">
        <f>+Supuestos!$F$14</f>
        <v>0.04</v>
      </c>
      <c r="F599" s="129">
        <f>+Supuestos!$G$14</f>
        <v>0.04</v>
      </c>
      <c r="G599" s="129">
        <f>+Supuestos!$H$14</f>
        <v>0.04</v>
      </c>
      <c r="H599" s="129">
        <f>+Supuestos!$I$14</f>
        <v>0.04</v>
      </c>
    </row>
    <row r="600" spans="2:8" outlineLevel="2" x14ac:dyDescent="0.2">
      <c r="B600" s="724" t="s">
        <v>303</v>
      </c>
      <c r="C600" s="79"/>
      <c r="D600" s="275">
        <v>0</v>
      </c>
      <c r="E600" s="275">
        <v>0</v>
      </c>
      <c r="F600" s="275">
        <v>0</v>
      </c>
      <c r="G600" s="275">
        <v>0</v>
      </c>
      <c r="H600" s="275">
        <v>0</v>
      </c>
    </row>
    <row r="601" spans="2:8" outlineLevel="2" x14ac:dyDescent="0.2">
      <c r="B601" s="722" t="s">
        <v>249</v>
      </c>
      <c r="C601" s="79">
        <f>+O224</f>
        <v>4993.54</v>
      </c>
      <c r="D601" s="79">
        <f>+C601*(1+D603)*(1+C602)</f>
        <v>5158.3268199999993</v>
      </c>
      <c r="E601" s="79">
        <f>+D601*(1+E603)*(1+D602)</f>
        <v>5344.0265855199996</v>
      </c>
      <c r="F601" s="79">
        <f>+E601*(1+F603)*(1+E602)</f>
        <v>5568.4757021118394</v>
      </c>
      <c r="G601" s="79">
        <f>+F601*(1+G603)*(1+F602)</f>
        <v>5835.7625358132082</v>
      </c>
      <c r="H601" s="79">
        <f>+G601*(1+H603)*(1+G602)</f>
        <v>6150.8937127471218</v>
      </c>
    </row>
    <row r="602" spans="2:8" outlineLevel="2" x14ac:dyDescent="0.2">
      <c r="B602" s="724" t="s">
        <v>304</v>
      </c>
      <c r="C602" s="129">
        <f>+Supuestos!$D$13</f>
        <v>3.3000000000000002E-2</v>
      </c>
      <c r="D602" s="129">
        <f>+Supuestos!$E$13</f>
        <v>3.5999999999999997E-2</v>
      </c>
      <c r="E602" s="129">
        <f>+Supuestos!$F$13</f>
        <v>4.2000000000000003E-2</v>
      </c>
      <c r="F602" s="129">
        <f>+Supuestos!$G$13</f>
        <v>4.8000000000000001E-2</v>
      </c>
      <c r="G602" s="129">
        <f>+Supuestos!$H$13</f>
        <v>5.3999999999999999E-2</v>
      </c>
      <c r="H602" s="129">
        <f>+Supuestos!$I$13</f>
        <v>0.06</v>
      </c>
    </row>
    <row r="603" spans="2:8" outlineLevel="2" x14ac:dyDescent="0.2">
      <c r="B603" s="724" t="s">
        <v>282</v>
      </c>
      <c r="C603" s="79"/>
      <c r="D603" s="275">
        <v>0</v>
      </c>
      <c r="E603" s="275">
        <v>0</v>
      </c>
      <c r="F603" s="275">
        <v>0</v>
      </c>
      <c r="G603" s="275">
        <v>0</v>
      </c>
      <c r="H603" s="275">
        <v>0</v>
      </c>
    </row>
    <row r="604" spans="2:8" ht="15" outlineLevel="2" x14ac:dyDescent="0.25">
      <c r="B604" s="725" t="s">
        <v>1</v>
      </c>
      <c r="C604" s="136">
        <f t="shared" ref="C604:H604" si="533">+C601*C598</f>
        <v>117394130.56799999</v>
      </c>
      <c r="D604" s="136">
        <f t="shared" si="533"/>
        <v>126115932.42217998</v>
      </c>
      <c r="E604" s="136">
        <f t="shared" si="533"/>
        <v>135877219.96343151</v>
      </c>
      <c r="F604" s="136">
        <f t="shared" si="533"/>
        <v>147247202.99094337</v>
      </c>
      <c r="G604" s="136">
        <f t="shared" si="533"/>
        <v>160483469.73486322</v>
      </c>
      <c r="H604" s="136">
        <f t="shared" si="533"/>
        <v>175915560.18456769</v>
      </c>
    </row>
    <row r="605" spans="2:8" ht="15" outlineLevel="1" x14ac:dyDescent="0.25">
      <c r="B605" s="723" t="str">
        <f>+B228</f>
        <v>Banano criollo</v>
      </c>
      <c r="C605" s="128"/>
      <c r="D605" s="84"/>
      <c r="E605" s="84"/>
      <c r="F605" s="84"/>
      <c r="G605" s="84"/>
      <c r="H605" s="84"/>
    </row>
    <row r="606" spans="2:8" outlineLevel="2" x14ac:dyDescent="0.2">
      <c r="B606" s="724" t="s">
        <v>283</v>
      </c>
      <c r="C606" s="79">
        <f>+O229</f>
        <v>2177.88</v>
      </c>
      <c r="D606" s="79">
        <f>ROUNDDOWN(C606*(1+D608)*(1+D607),0)</f>
        <v>2264</v>
      </c>
      <c r="E606" s="79">
        <f>ROUNDDOWN(D606*(1+E608)*(1+E607),0)</f>
        <v>2354</v>
      </c>
      <c r="F606" s="79">
        <f>ROUNDDOWN(E606*(1+F608)*(1+F607),0)</f>
        <v>2448</v>
      </c>
      <c r="G606" s="79">
        <f>ROUNDDOWN(F606*(1+G608)*(1+G607),0)</f>
        <v>2545</v>
      </c>
      <c r="H606" s="79">
        <f>ROUNDDOWN(G606*(1+H608)*(1+H607),0)</f>
        <v>2646</v>
      </c>
    </row>
    <row r="607" spans="2:8" outlineLevel="2" x14ac:dyDescent="0.2">
      <c r="B607" s="724" t="s">
        <v>302</v>
      </c>
      <c r="C607" s="129">
        <f>+Supuestos!$D$14</f>
        <v>4.1000000000000002E-2</v>
      </c>
      <c r="D607" s="129">
        <f>+Supuestos!$E$14</f>
        <v>0.04</v>
      </c>
      <c r="E607" s="129">
        <f>+Supuestos!$F$14</f>
        <v>0.04</v>
      </c>
      <c r="F607" s="129">
        <f>+Supuestos!$G$14</f>
        <v>0.04</v>
      </c>
      <c r="G607" s="129">
        <f>+Supuestos!$H$14</f>
        <v>0.04</v>
      </c>
      <c r="H607" s="129">
        <f>+Supuestos!$I$14</f>
        <v>0.04</v>
      </c>
    </row>
    <row r="608" spans="2:8" outlineLevel="2" x14ac:dyDescent="0.2">
      <c r="B608" s="724" t="s">
        <v>303</v>
      </c>
      <c r="C608" s="79"/>
      <c r="D608" s="275">
        <v>0</v>
      </c>
      <c r="E608" s="275">
        <v>0</v>
      </c>
      <c r="F608" s="275">
        <v>0</v>
      </c>
      <c r="G608" s="275">
        <v>0</v>
      </c>
      <c r="H608" s="275">
        <v>0</v>
      </c>
    </row>
    <row r="609" spans="2:8" outlineLevel="2" x14ac:dyDescent="0.2">
      <c r="B609" s="722" t="s">
        <v>249</v>
      </c>
      <c r="C609" s="79">
        <f>+O232</f>
        <v>1470.26</v>
      </c>
      <c r="D609" s="79">
        <f>+C609*(1+D611)*(1+C610)</f>
        <v>1518.7785799999999</v>
      </c>
      <c r="E609" s="79">
        <f>+D609*(1+E611)*(1+D610)</f>
        <v>1573.45460888</v>
      </c>
      <c r="F609" s="79">
        <f>+E609*(1+F611)*(1+E610)</f>
        <v>1639.53970245296</v>
      </c>
      <c r="G609" s="79">
        <f>+F609*(1+G611)*(1+F610)</f>
        <v>1718.2376081707021</v>
      </c>
      <c r="H609" s="79">
        <f>+G609*(1+H611)*(1+G610)</f>
        <v>1811.0224390119201</v>
      </c>
    </row>
    <row r="610" spans="2:8" outlineLevel="2" x14ac:dyDescent="0.2">
      <c r="B610" s="724" t="s">
        <v>304</v>
      </c>
      <c r="C610" s="129">
        <f>+Supuestos!$D$13</f>
        <v>3.3000000000000002E-2</v>
      </c>
      <c r="D610" s="129">
        <f>+Supuestos!$E$13</f>
        <v>3.5999999999999997E-2</v>
      </c>
      <c r="E610" s="129">
        <f>+Supuestos!$F$13</f>
        <v>4.2000000000000003E-2</v>
      </c>
      <c r="F610" s="129">
        <f>+Supuestos!$G$13</f>
        <v>4.8000000000000001E-2</v>
      </c>
      <c r="G610" s="129">
        <f>+Supuestos!$H$13</f>
        <v>5.3999999999999999E-2</v>
      </c>
      <c r="H610" s="129">
        <f>+Supuestos!$I$13</f>
        <v>0.06</v>
      </c>
    </row>
    <row r="611" spans="2:8" outlineLevel="2" x14ac:dyDescent="0.2">
      <c r="B611" s="724" t="s">
        <v>282</v>
      </c>
      <c r="C611" s="79"/>
      <c r="D611" s="275">
        <v>0</v>
      </c>
      <c r="E611" s="275">
        <v>0</v>
      </c>
      <c r="F611" s="275">
        <v>0</v>
      </c>
      <c r="G611" s="275">
        <v>0</v>
      </c>
      <c r="H611" s="275">
        <v>0</v>
      </c>
    </row>
    <row r="612" spans="2:8" ht="15" outlineLevel="2" x14ac:dyDescent="0.25">
      <c r="B612" s="725" t="s">
        <v>1</v>
      </c>
      <c r="C612" s="136">
        <f t="shared" ref="C612:H612" si="534">+C609*C606</f>
        <v>3202049.8488000003</v>
      </c>
      <c r="D612" s="136">
        <f t="shared" si="534"/>
        <v>3438514.7051199996</v>
      </c>
      <c r="E612" s="136">
        <f t="shared" si="534"/>
        <v>3703912.1493035201</v>
      </c>
      <c r="F612" s="136">
        <f t="shared" si="534"/>
        <v>4013593.1916048462</v>
      </c>
      <c r="G612" s="136">
        <f t="shared" si="534"/>
        <v>4372914.7127944371</v>
      </c>
      <c r="H612" s="136">
        <f t="shared" si="534"/>
        <v>4791965.3736255411</v>
      </c>
    </row>
    <row r="613" spans="2:8" ht="15" outlineLevel="1" x14ac:dyDescent="0.25">
      <c r="B613" s="723" t="str">
        <f>+B236</f>
        <v>Coco San Blas</v>
      </c>
      <c r="C613" s="128"/>
      <c r="D613" s="84"/>
      <c r="E613" s="84"/>
      <c r="F613" s="84"/>
      <c r="G613" s="84"/>
      <c r="H613" s="84"/>
    </row>
    <row r="614" spans="2:8" outlineLevel="2" x14ac:dyDescent="0.2">
      <c r="B614" s="724" t="s">
        <v>283</v>
      </c>
      <c r="C614" s="79">
        <f>+O237</f>
        <v>574.91999999999985</v>
      </c>
      <c r="D614" s="79">
        <f>ROUNDDOWN(C614*(1+D616)*(1+D615),0)</f>
        <v>597</v>
      </c>
      <c r="E614" s="79">
        <f>ROUNDDOWN(D614*(1+E616)*(1+E615),0)</f>
        <v>620</v>
      </c>
      <c r="F614" s="79">
        <f>ROUNDDOWN(E614*(1+F616)*(1+F615),0)</f>
        <v>644</v>
      </c>
      <c r="G614" s="79">
        <f>ROUNDDOWN(F614*(1+G616)*(1+G615),0)</f>
        <v>669</v>
      </c>
      <c r="H614" s="79">
        <f>ROUNDDOWN(G614*(1+H616)*(1+H615),0)</f>
        <v>695</v>
      </c>
    </row>
    <row r="615" spans="2:8" outlineLevel="2" x14ac:dyDescent="0.2">
      <c r="B615" s="724" t="s">
        <v>302</v>
      </c>
      <c r="C615" s="129">
        <f>+Supuestos!$D$14</f>
        <v>4.1000000000000002E-2</v>
      </c>
      <c r="D615" s="129">
        <f>+Supuestos!$E$14</f>
        <v>0.04</v>
      </c>
      <c r="E615" s="129">
        <f>+Supuestos!$F$14</f>
        <v>0.04</v>
      </c>
      <c r="F615" s="129">
        <f>+Supuestos!$G$14</f>
        <v>0.04</v>
      </c>
      <c r="G615" s="129">
        <f>+Supuestos!$H$14</f>
        <v>0.04</v>
      </c>
      <c r="H615" s="129">
        <f>+Supuestos!$I$14</f>
        <v>0.04</v>
      </c>
    </row>
    <row r="616" spans="2:8" outlineLevel="2" x14ac:dyDescent="0.2">
      <c r="B616" s="724" t="s">
        <v>303</v>
      </c>
      <c r="C616" s="79"/>
      <c r="D616" s="275">
        <v>0</v>
      </c>
      <c r="E616" s="275">
        <v>0</v>
      </c>
      <c r="F616" s="275">
        <v>0</v>
      </c>
      <c r="G616" s="275">
        <v>0</v>
      </c>
      <c r="H616" s="275">
        <v>0</v>
      </c>
    </row>
    <row r="617" spans="2:8" outlineLevel="2" x14ac:dyDescent="0.2">
      <c r="B617" s="722" t="s">
        <v>249</v>
      </c>
      <c r="C617" s="79">
        <f>+O240</f>
        <v>5198.74</v>
      </c>
      <c r="D617" s="79">
        <f>+C617*(1+D619)*(1+C618)</f>
        <v>5370.2984199999992</v>
      </c>
      <c r="E617" s="79">
        <f>+D617*(1+E619)*(1+D618)</f>
        <v>5563.6291631199992</v>
      </c>
      <c r="F617" s="79">
        <f>+E617*(1+F619)*(1+E618)</f>
        <v>5797.3015879710392</v>
      </c>
      <c r="G617" s="79">
        <f>+F617*(1+G619)*(1+F618)</f>
        <v>6075.5720641936496</v>
      </c>
      <c r="H617" s="79">
        <f>+G617*(1+H619)*(1+G618)</f>
        <v>6403.6529556601072</v>
      </c>
    </row>
    <row r="618" spans="2:8" outlineLevel="2" x14ac:dyDescent="0.2">
      <c r="B618" s="724" t="s">
        <v>304</v>
      </c>
      <c r="C618" s="129">
        <f>+Supuestos!$D$13</f>
        <v>3.3000000000000002E-2</v>
      </c>
      <c r="D618" s="129">
        <f>+Supuestos!$E$13</f>
        <v>3.5999999999999997E-2</v>
      </c>
      <c r="E618" s="129">
        <f>+Supuestos!$F$13</f>
        <v>4.2000000000000003E-2</v>
      </c>
      <c r="F618" s="129">
        <f>+Supuestos!$G$13</f>
        <v>4.8000000000000001E-2</v>
      </c>
      <c r="G618" s="129">
        <f>+Supuestos!$H$13</f>
        <v>5.3999999999999999E-2</v>
      </c>
      <c r="H618" s="129">
        <f>+Supuestos!$I$13</f>
        <v>0.06</v>
      </c>
    </row>
    <row r="619" spans="2:8" outlineLevel="2" x14ac:dyDescent="0.2">
      <c r="B619" s="724" t="s">
        <v>282</v>
      </c>
      <c r="C619" s="79"/>
      <c r="D619" s="275">
        <v>0</v>
      </c>
      <c r="E619" s="275">
        <v>0</v>
      </c>
      <c r="F619" s="275">
        <v>0</v>
      </c>
      <c r="G619" s="275">
        <v>0</v>
      </c>
      <c r="H619" s="275">
        <v>0</v>
      </c>
    </row>
    <row r="620" spans="2:8" ht="15" outlineLevel="2" x14ac:dyDescent="0.25">
      <c r="B620" s="725" t="s">
        <v>1</v>
      </c>
      <c r="C620" s="136">
        <f t="shared" ref="C620:H620" si="535">+C617*C614</f>
        <v>2988859.6007999992</v>
      </c>
      <c r="D620" s="136">
        <f t="shared" si="535"/>
        <v>3206068.1567399995</v>
      </c>
      <c r="E620" s="136">
        <f t="shared" si="535"/>
        <v>3449450.0811343994</v>
      </c>
      <c r="F620" s="136">
        <f t="shared" si="535"/>
        <v>3733462.2226533494</v>
      </c>
      <c r="G620" s="136">
        <f t="shared" si="535"/>
        <v>4064557.7109455517</v>
      </c>
      <c r="H620" s="136">
        <f t="shared" si="535"/>
        <v>4450538.8041837746</v>
      </c>
    </row>
    <row r="621" spans="2:8" ht="15" outlineLevel="1" x14ac:dyDescent="0.25">
      <c r="B621" s="723" t="str">
        <f>+B244</f>
        <v>Fresa</v>
      </c>
      <c r="C621" s="128"/>
      <c r="D621" s="84"/>
      <c r="E621" s="84"/>
      <c r="F621" s="84"/>
      <c r="G621" s="84"/>
      <c r="H621" s="84"/>
    </row>
    <row r="622" spans="2:8" outlineLevel="2" x14ac:dyDescent="0.2">
      <c r="B622" s="724" t="s">
        <v>283</v>
      </c>
      <c r="C622" s="79">
        <f>+O245</f>
        <v>4227.96</v>
      </c>
      <c r="D622" s="79">
        <f>ROUNDDOWN(C622*(1+D624)*(1+D623),0)</f>
        <v>4397</v>
      </c>
      <c r="E622" s="79">
        <f>ROUNDDOWN(D622*(1+E624)*(1+E623),0)</f>
        <v>4572</v>
      </c>
      <c r="F622" s="79">
        <f>ROUNDDOWN(E622*(1+F624)*(1+F623),0)</f>
        <v>4754</v>
      </c>
      <c r="G622" s="79">
        <f>ROUNDDOWN(F622*(1+G624)*(1+G623),0)</f>
        <v>4944</v>
      </c>
      <c r="H622" s="79">
        <f>ROUNDDOWN(G622*(1+H624)*(1+H623),0)</f>
        <v>5141</v>
      </c>
    </row>
    <row r="623" spans="2:8" outlineLevel="2" x14ac:dyDescent="0.2">
      <c r="B623" s="724" t="s">
        <v>302</v>
      </c>
      <c r="C623" s="129">
        <f>+Supuestos!$D$14</f>
        <v>4.1000000000000002E-2</v>
      </c>
      <c r="D623" s="129">
        <f>+Supuestos!$E$14</f>
        <v>0.04</v>
      </c>
      <c r="E623" s="129">
        <f>+Supuestos!$F$14</f>
        <v>0.04</v>
      </c>
      <c r="F623" s="129">
        <f>+Supuestos!$G$14</f>
        <v>0.04</v>
      </c>
      <c r="G623" s="129">
        <f>+Supuestos!$H$14</f>
        <v>0.04</v>
      </c>
      <c r="H623" s="129">
        <f>+Supuestos!$I$14</f>
        <v>0.04</v>
      </c>
    </row>
    <row r="624" spans="2:8" outlineLevel="2" x14ac:dyDescent="0.2">
      <c r="B624" s="724" t="s">
        <v>303</v>
      </c>
      <c r="C624" s="79"/>
      <c r="D624" s="275">
        <v>0</v>
      </c>
      <c r="E624" s="275">
        <v>0</v>
      </c>
      <c r="F624" s="275">
        <v>0</v>
      </c>
      <c r="G624" s="275">
        <v>0</v>
      </c>
      <c r="H624" s="275">
        <v>0</v>
      </c>
    </row>
    <row r="625" spans="2:8" outlineLevel="2" x14ac:dyDescent="0.2">
      <c r="B625" s="722" t="s">
        <v>249</v>
      </c>
      <c r="C625" s="79">
        <f>+O248</f>
        <v>7728.86</v>
      </c>
      <c r="D625" s="79">
        <f>+C625*(1+D627)*(1+C626)</f>
        <v>7983.9123799999988</v>
      </c>
      <c r="E625" s="79">
        <f>+D625*(1+E627)*(1+D626)</f>
        <v>8271.3332256799986</v>
      </c>
      <c r="F625" s="79">
        <f>+E625*(1+F627)*(1+E626)</f>
        <v>8618.7292211585591</v>
      </c>
      <c r="G625" s="79">
        <f>+F625*(1+G627)*(1+F626)</f>
        <v>9032.42822377417</v>
      </c>
      <c r="H625" s="79">
        <f>+G625*(1+H627)*(1+G626)</f>
        <v>9520.1793478579748</v>
      </c>
    </row>
    <row r="626" spans="2:8" outlineLevel="2" x14ac:dyDescent="0.2">
      <c r="B626" s="724" t="s">
        <v>304</v>
      </c>
      <c r="C626" s="129">
        <f>+Supuestos!$D$13</f>
        <v>3.3000000000000002E-2</v>
      </c>
      <c r="D626" s="129">
        <f>+Supuestos!$E$13</f>
        <v>3.5999999999999997E-2</v>
      </c>
      <c r="E626" s="129">
        <f>+Supuestos!$F$13</f>
        <v>4.2000000000000003E-2</v>
      </c>
      <c r="F626" s="129">
        <f>+Supuestos!$G$13</f>
        <v>4.8000000000000001E-2</v>
      </c>
      <c r="G626" s="129">
        <f>+Supuestos!$H$13</f>
        <v>5.3999999999999999E-2</v>
      </c>
      <c r="H626" s="129">
        <f>+Supuestos!$I$13</f>
        <v>0.06</v>
      </c>
    </row>
    <row r="627" spans="2:8" outlineLevel="2" x14ac:dyDescent="0.2">
      <c r="B627" s="724" t="s">
        <v>282</v>
      </c>
      <c r="C627" s="79"/>
      <c r="D627" s="275">
        <v>0</v>
      </c>
      <c r="E627" s="275">
        <v>0</v>
      </c>
      <c r="F627" s="275">
        <v>0</v>
      </c>
      <c r="G627" s="275">
        <v>0</v>
      </c>
      <c r="H627" s="275">
        <v>0</v>
      </c>
    </row>
    <row r="628" spans="2:8" ht="15" outlineLevel="2" x14ac:dyDescent="0.25">
      <c r="B628" s="725" t="s">
        <v>1</v>
      </c>
      <c r="C628" s="136">
        <f t="shared" ref="C628:H628" si="536">+C625*C622</f>
        <v>32677310.9256</v>
      </c>
      <c r="D628" s="136">
        <f t="shared" si="536"/>
        <v>35105262.734859996</v>
      </c>
      <c r="E628" s="136">
        <f t="shared" si="536"/>
        <v>37816535.507808954</v>
      </c>
      <c r="F628" s="136">
        <f t="shared" si="536"/>
        <v>40973438.717387788</v>
      </c>
      <c r="G628" s="136">
        <f t="shared" si="536"/>
        <v>44656325.138339497</v>
      </c>
      <c r="H628" s="136">
        <f t="shared" si="536"/>
        <v>48943242.027337849</v>
      </c>
    </row>
    <row r="629" spans="2:8" ht="15" outlineLevel="1" x14ac:dyDescent="0.25">
      <c r="B629" s="723" t="str">
        <f>+B252</f>
        <v>Granadilla</v>
      </c>
      <c r="C629" s="128"/>
      <c r="D629" s="84"/>
      <c r="E629" s="84"/>
      <c r="F629" s="84"/>
      <c r="G629" s="84"/>
      <c r="H629" s="84"/>
    </row>
    <row r="630" spans="2:8" outlineLevel="2" x14ac:dyDescent="0.2">
      <c r="B630" s="724" t="s">
        <v>283</v>
      </c>
      <c r="C630" s="79">
        <f>+O253</f>
        <v>929.16000000000031</v>
      </c>
      <c r="D630" s="79">
        <f>ROUNDDOWN(C630*(1+D632)*(1+D631),0)</f>
        <v>966</v>
      </c>
      <c r="E630" s="79">
        <f>ROUNDDOWN(D630*(1+E632)*(1+E631),0)</f>
        <v>1004</v>
      </c>
      <c r="F630" s="79">
        <f>ROUNDDOWN(E630*(1+F632)*(1+F631),0)</f>
        <v>1044</v>
      </c>
      <c r="G630" s="79">
        <f>ROUNDDOWN(F630*(1+G632)*(1+G631),0)</f>
        <v>1085</v>
      </c>
      <c r="H630" s="79">
        <f>ROUNDDOWN(G630*(1+H632)*(1+H631),0)</f>
        <v>1128</v>
      </c>
    </row>
    <row r="631" spans="2:8" outlineLevel="2" x14ac:dyDescent="0.2">
      <c r="B631" s="724" t="s">
        <v>302</v>
      </c>
      <c r="C631" s="129">
        <f>+Supuestos!$D$14</f>
        <v>4.1000000000000002E-2</v>
      </c>
      <c r="D631" s="129">
        <f>+Supuestos!$E$14</f>
        <v>0.04</v>
      </c>
      <c r="E631" s="129">
        <f>+Supuestos!$F$14</f>
        <v>0.04</v>
      </c>
      <c r="F631" s="129">
        <f>+Supuestos!$G$14</f>
        <v>0.04</v>
      </c>
      <c r="G631" s="129">
        <f>+Supuestos!$H$14</f>
        <v>0.04</v>
      </c>
      <c r="H631" s="129">
        <f>+Supuestos!$I$14</f>
        <v>0.04</v>
      </c>
    </row>
    <row r="632" spans="2:8" outlineLevel="2" x14ac:dyDescent="0.2">
      <c r="B632" s="724" t="s">
        <v>303</v>
      </c>
      <c r="C632" s="79"/>
      <c r="D632" s="275">
        <v>0</v>
      </c>
      <c r="E632" s="275">
        <v>0</v>
      </c>
      <c r="F632" s="275">
        <v>0</v>
      </c>
      <c r="G632" s="275">
        <v>0</v>
      </c>
      <c r="H632" s="275">
        <v>0</v>
      </c>
    </row>
    <row r="633" spans="2:8" outlineLevel="2" x14ac:dyDescent="0.2">
      <c r="B633" s="722" t="s">
        <v>249</v>
      </c>
      <c r="C633" s="79">
        <f>+O256</f>
        <v>10431.34</v>
      </c>
      <c r="D633" s="79">
        <f>+C633*(1+D635)*(1+C634)</f>
        <v>10775.574219999999</v>
      </c>
      <c r="E633" s="79">
        <f>+D633*(1+E635)*(1+D634)</f>
        <v>11163.49489192</v>
      </c>
      <c r="F633" s="79">
        <f>+E633*(1+F635)*(1+E634)</f>
        <v>11632.361677380641</v>
      </c>
      <c r="G633" s="79">
        <f>+F633*(1+G635)*(1+F634)</f>
        <v>12190.715037894912</v>
      </c>
      <c r="H633" s="79">
        <f>+G633*(1+H635)*(1+G634)</f>
        <v>12849.013649941238</v>
      </c>
    </row>
    <row r="634" spans="2:8" outlineLevel="2" x14ac:dyDescent="0.2">
      <c r="B634" s="724" t="s">
        <v>304</v>
      </c>
      <c r="C634" s="129">
        <f>+Supuestos!$D$13</f>
        <v>3.3000000000000002E-2</v>
      </c>
      <c r="D634" s="129">
        <f>+Supuestos!$E$13</f>
        <v>3.5999999999999997E-2</v>
      </c>
      <c r="E634" s="129">
        <f>+Supuestos!$F$13</f>
        <v>4.2000000000000003E-2</v>
      </c>
      <c r="F634" s="129">
        <f>+Supuestos!$G$13</f>
        <v>4.8000000000000001E-2</v>
      </c>
      <c r="G634" s="129">
        <f>+Supuestos!$H$13</f>
        <v>5.3999999999999999E-2</v>
      </c>
      <c r="H634" s="129">
        <f>+Supuestos!$I$13</f>
        <v>0.06</v>
      </c>
    </row>
    <row r="635" spans="2:8" outlineLevel="2" x14ac:dyDescent="0.2">
      <c r="B635" s="724" t="s">
        <v>282</v>
      </c>
      <c r="C635" s="79"/>
      <c r="D635" s="275">
        <v>0</v>
      </c>
      <c r="E635" s="275">
        <v>0</v>
      </c>
      <c r="F635" s="275">
        <v>0</v>
      </c>
      <c r="G635" s="275">
        <v>0</v>
      </c>
      <c r="H635" s="275">
        <v>0</v>
      </c>
    </row>
    <row r="636" spans="2:8" ht="15" outlineLevel="2" x14ac:dyDescent="0.25">
      <c r="B636" s="725" t="s">
        <v>1</v>
      </c>
      <c r="C636" s="136">
        <f t="shared" ref="C636:H636" si="537">+C633*C630</f>
        <v>9692383.8744000029</v>
      </c>
      <c r="D636" s="136">
        <f t="shared" si="537"/>
        <v>10409204.696519999</v>
      </c>
      <c r="E636" s="136">
        <f t="shared" si="537"/>
        <v>11208148.871487679</v>
      </c>
      <c r="F636" s="136">
        <f t="shared" si="537"/>
        <v>12144185.591185389</v>
      </c>
      <c r="G636" s="136">
        <f t="shared" si="537"/>
        <v>13226925.816115979</v>
      </c>
      <c r="H636" s="136">
        <f t="shared" si="537"/>
        <v>14493687.397133717</v>
      </c>
    </row>
    <row r="637" spans="2:8" ht="15" outlineLevel="1" x14ac:dyDescent="0.25">
      <c r="B637" s="723" t="str">
        <f>+B260</f>
        <v>Guanábana Cítrica</v>
      </c>
      <c r="C637" s="128"/>
      <c r="D637" s="84"/>
      <c r="E637" s="84"/>
      <c r="F637" s="84"/>
      <c r="G637" s="84"/>
      <c r="H637" s="84"/>
    </row>
    <row r="638" spans="2:8" outlineLevel="2" x14ac:dyDescent="0.2">
      <c r="B638" s="724" t="s">
        <v>283</v>
      </c>
      <c r="C638" s="79">
        <f>+O261</f>
        <v>2195.2800000000002</v>
      </c>
      <c r="D638" s="79">
        <f>ROUNDDOWN(C638*(1+D640)*(1+D639),0)</f>
        <v>2283</v>
      </c>
      <c r="E638" s="79">
        <f>ROUNDDOWN(D638*(1+E640)*(1+E639),0)</f>
        <v>2374</v>
      </c>
      <c r="F638" s="79">
        <f>ROUNDDOWN(E638*(1+F640)*(1+F639),0)</f>
        <v>2468</v>
      </c>
      <c r="G638" s="79">
        <f>ROUNDDOWN(F638*(1+G640)*(1+G639),0)</f>
        <v>2566</v>
      </c>
      <c r="H638" s="79">
        <f>ROUNDDOWN(G638*(1+H640)*(1+H639),0)</f>
        <v>2668</v>
      </c>
    </row>
    <row r="639" spans="2:8" outlineLevel="2" x14ac:dyDescent="0.2">
      <c r="B639" s="724" t="s">
        <v>302</v>
      </c>
      <c r="C639" s="129">
        <f>+Supuestos!$D$14</f>
        <v>4.1000000000000002E-2</v>
      </c>
      <c r="D639" s="129">
        <f>+Supuestos!$E$14</f>
        <v>0.04</v>
      </c>
      <c r="E639" s="129">
        <f>+Supuestos!$F$14</f>
        <v>0.04</v>
      </c>
      <c r="F639" s="129">
        <f>+Supuestos!$G$14</f>
        <v>0.04</v>
      </c>
      <c r="G639" s="129">
        <f>+Supuestos!$H$14</f>
        <v>0.04</v>
      </c>
      <c r="H639" s="129">
        <f>+Supuestos!$I$14</f>
        <v>0.04</v>
      </c>
    </row>
    <row r="640" spans="2:8" outlineLevel="2" x14ac:dyDescent="0.2">
      <c r="B640" s="724" t="s">
        <v>303</v>
      </c>
      <c r="C640" s="79"/>
      <c r="D640" s="275">
        <v>0</v>
      </c>
      <c r="E640" s="275">
        <v>0</v>
      </c>
      <c r="F640" s="275">
        <v>0</v>
      </c>
      <c r="G640" s="275">
        <v>0</v>
      </c>
      <c r="H640" s="275">
        <v>0</v>
      </c>
    </row>
    <row r="641" spans="2:8" outlineLevel="2" x14ac:dyDescent="0.2">
      <c r="B641" s="722" t="s">
        <v>249</v>
      </c>
      <c r="C641" s="79">
        <f>+O264</f>
        <v>2291.06</v>
      </c>
      <c r="D641" s="79">
        <f>+C641*(1+D643)*(1+C642)</f>
        <v>2366.6649799999996</v>
      </c>
      <c r="E641" s="79">
        <f>+D641*(1+E643)*(1+D642)</f>
        <v>2451.8649192799994</v>
      </c>
      <c r="F641" s="79">
        <f>+E641*(1+F643)*(1+E642)</f>
        <v>2554.8432458897596</v>
      </c>
      <c r="G641" s="79">
        <f>+F641*(1+G643)*(1+F642)</f>
        <v>2677.4757216924681</v>
      </c>
      <c r="H641" s="79">
        <f>+G641*(1+H643)*(1+G642)</f>
        <v>2822.0594106638614</v>
      </c>
    </row>
    <row r="642" spans="2:8" outlineLevel="2" x14ac:dyDescent="0.2">
      <c r="B642" s="724" t="s">
        <v>304</v>
      </c>
      <c r="C642" s="129">
        <f>+Supuestos!$D$13</f>
        <v>3.3000000000000002E-2</v>
      </c>
      <c r="D642" s="129">
        <f>+Supuestos!$E$13</f>
        <v>3.5999999999999997E-2</v>
      </c>
      <c r="E642" s="129">
        <f>+Supuestos!$F$13</f>
        <v>4.2000000000000003E-2</v>
      </c>
      <c r="F642" s="129">
        <f>+Supuestos!$G$13</f>
        <v>4.8000000000000001E-2</v>
      </c>
      <c r="G642" s="129">
        <f>+Supuestos!$H$13</f>
        <v>5.3999999999999999E-2</v>
      </c>
      <c r="H642" s="129">
        <f>+Supuestos!$I$13</f>
        <v>0.06</v>
      </c>
    </row>
    <row r="643" spans="2:8" outlineLevel="2" x14ac:dyDescent="0.2">
      <c r="B643" s="724" t="s">
        <v>282</v>
      </c>
      <c r="C643" s="79"/>
      <c r="D643" s="275">
        <v>0</v>
      </c>
      <c r="E643" s="275">
        <v>0</v>
      </c>
      <c r="F643" s="275">
        <v>0</v>
      </c>
      <c r="G643" s="275">
        <v>0</v>
      </c>
      <c r="H643" s="275">
        <v>0</v>
      </c>
    </row>
    <row r="644" spans="2:8" ht="15" outlineLevel="2" x14ac:dyDescent="0.25">
      <c r="B644" s="725" t="s">
        <v>1</v>
      </c>
      <c r="C644" s="136">
        <f t="shared" ref="C644:H644" si="538">+C641*C638</f>
        <v>5029518.1968</v>
      </c>
      <c r="D644" s="136">
        <f t="shared" si="538"/>
        <v>5403096.1493399991</v>
      </c>
      <c r="E644" s="136">
        <f t="shared" si="538"/>
        <v>5820727.3183707185</v>
      </c>
      <c r="F644" s="136">
        <f t="shared" si="538"/>
        <v>6305353.1308559263</v>
      </c>
      <c r="G644" s="136">
        <f t="shared" si="538"/>
        <v>6870402.7018628735</v>
      </c>
      <c r="H644" s="136">
        <f t="shared" si="538"/>
        <v>7529254.5076511819</v>
      </c>
    </row>
    <row r="645" spans="2:8" ht="15" outlineLevel="1" x14ac:dyDescent="0.25">
      <c r="B645" s="723" t="str">
        <f>+B268</f>
        <v>Guayaba Pera</v>
      </c>
      <c r="C645" s="128"/>
      <c r="D645" s="84"/>
      <c r="E645" s="84"/>
      <c r="F645" s="84"/>
      <c r="G645" s="84"/>
      <c r="H645" s="84"/>
    </row>
    <row r="646" spans="2:8" outlineLevel="2" x14ac:dyDescent="0.2">
      <c r="B646" s="724" t="s">
        <v>283</v>
      </c>
      <c r="C646" s="79">
        <f>+O269</f>
        <v>1161.4799999999998</v>
      </c>
      <c r="D646" s="79">
        <f>ROUNDDOWN(C646*(1+D648)*(1+D647),0)</f>
        <v>1207</v>
      </c>
      <c r="E646" s="79">
        <f>ROUNDDOWN(D646*(1+E648)*(1+E647),0)</f>
        <v>1255</v>
      </c>
      <c r="F646" s="79">
        <f>ROUNDDOWN(E646*(1+F648)*(1+F647),0)</f>
        <v>1305</v>
      </c>
      <c r="G646" s="79">
        <f>ROUNDDOWN(F646*(1+G648)*(1+G647),0)</f>
        <v>1357</v>
      </c>
      <c r="H646" s="79">
        <f>ROUNDDOWN(G646*(1+H648)*(1+H647),0)</f>
        <v>1411</v>
      </c>
    </row>
    <row r="647" spans="2:8" outlineLevel="2" x14ac:dyDescent="0.2">
      <c r="B647" s="724" t="s">
        <v>302</v>
      </c>
      <c r="C647" s="129">
        <f>+Supuestos!$D$14</f>
        <v>4.1000000000000002E-2</v>
      </c>
      <c r="D647" s="129">
        <f>+Supuestos!$E$14</f>
        <v>0.04</v>
      </c>
      <c r="E647" s="129">
        <f>+Supuestos!$F$14</f>
        <v>0.04</v>
      </c>
      <c r="F647" s="129">
        <f>+Supuestos!$G$14</f>
        <v>0.04</v>
      </c>
      <c r="G647" s="129">
        <f>+Supuestos!$H$14</f>
        <v>0.04</v>
      </c>
      <c r="H647" s="129">
        <f>+Supuestos!$I$14</f>
        <v>0.04</v>
      </c>
    </row>
    <row r="648" spans="2:8" outlineLevel="2" x14ac:dyDescent="0.2">
      <c r="B648" s="724" t="s">
        <v>303</v>
      </c>
      <c r="C648" s="79"/>
      <c r="D648" s="275">
        <v>0</v>
      </c>
      <c r="E648" s="275">
        <v>0</v>
      </c>
      <c r="F648" s="275">
        <v>0</v>
      </c>
      <c r="G648" s="275">
        <v>0</v>
      </c>
      <c r="H648" s="275">
        <v>0</v>
      </c>
    </row>
    <row r="649" spans="2:8" outlineLevel="2" x14ac:dyDescent="0.2">
      <c r="B649" s="722" t="s">
        <v>249</v>
      </c>
      <c r="C649" s="79">
        <f>+O272</f>
        <v>1607.74</v>
      </c>
      <c r="D649" s="79">
        <f>+C649*(1+D651)*(1+C650)</f>
        <v>1660.7954199999999</v>
      </c>
      <c r="E649" s="79">
        <f>+D649*(1+E651)*(1+D650)</f>
        <v>1720.5840551199999</v>
      </c>
      <c r="F649" s="79">
        <f>+E649*(1+F651)*(1+E650)</f>
        <v>1792.8485854350399</v>
      </c>
      <c r="G649" s="79">
        <f>+F649*(1+G651)*(1+F650)</f>
        <v>1878.905317535922</v>
      </c>
      <c r="H649" s="79">
        <f>+G649*(1+H651)*(1+G650)</f>
        <v>1980.366204682862</v>
      </c>
    </row>
    <row r="650" spans="2:8" outlineLevel="2" x14ac:dyDescent="0.2">
      <c r="B650" s="724" t="s">
        <v>304</v>
      </c>
      <c r="C650" s="129">
        <f>+Supuestos!$D$13</f>
        <v>3.3000000000000002E-2</v>
      </c>
      <c r="D650" s="129">
        <f>+Supuestos!$E$13</f>
        <v>3.5999999999999997E-2</v>
      </c>
      <c r="E650" s="129">
        <f>+Supuestos!$F$13</f>
        <v>4.2000000000000003E-2</v>
      </c>
      <c r="F650" s="129">
        <f>+Supuestos!$G$13</f>
        <v>4.8000000000000001E-2</v>
      </c>
      <c r="G650" s="129">
        <f>+Supuestos!$H$13</f>
        <v>5.3999999999999999E-2</v>
      </c>
      <c r="H650" s="129">
        <f>+Supuestos!$I$13</f>
        <v>0.06</v>
      </c>
    </row>
    <row r="651" spans="2:8" outlineLevel="2" x14ac:dyDescent="0.2">
      <c r="B651" s="724" t="s">
        <v>282</v>
      </c>
      <c r="C651" s="79"/>
      <c r="D651" s="275">
        <v>0</v>
      </c>
      <c r="E651" s="275">
        <v>0</v>
      </c>
      <c r="F651" s="275">
        <v>0</v>
      </c>
      <c r="G651" s="275">
        <v>0</v>
      </c>
      <c r="H651" s="275">
        <v>0</v>
      </c>
    </row>
    <row r="652" spans="2:8" ht="15" outlineLevel="2" x14ac:dyDescent="0.25">
      <c r="B652" s="725" t="s">
        <v>1</v>
      </c>
      <c r="C652" s="136">
        <f t="shared" ref="C652:H652" si="539">+C649*C646</f>
        <v>1867357.8551999996</v>
      </c>
      <c r="D652" s="136">
        <f t="shared" si="539"/>
        <v>2004580.0719399999</v>
      </c>
      <c r="E652" s="136">
        <f t="shared" si="539"/>
        <v>2159332.9891756</v>
      </c>
      <c r="F652" s="136">
        <f t="shared" si="539"/>
        <v>2339667.4039927269</v>
      </c>
      <c r="G652" s="136">
        <f t="shared" si="539"/>
        <v>2549674.5158962463</v>
      </c>
      <c r="H652" s="136">
        <f t="shared" si="539"/>
        <v>2794296.7148075183</v>
      </c>
    </row>
    <row r="653" spans="2:8" ht="15" outlineLevel="1" x14ac:dyDescent="0.25">
      <c r="B653" s="723" t="str">
        <f>+B276</f>
        <v>Limón Común</v>
      </c>
      <c r="C653" s="128"/>
      <c r="D653" s="84"/>
      <c r="E653" s="84"/>
      <c r="F653" s="84"/>
      <c r="G653" s="84"/>
      <c r="H653" s="84"/>
    </row>
    <row r="654" spans="2:8" outlineLevel="2" x14ac:dyDescent="0.2">
      <c r="B654" s="724" t="s">
        <v>283</v>
      </c>
      <c r="C654" s="79">
        <f>+O277</f>
        <v>30257.519999999993</v>
      </c>
      <c r="D654" s="79">
        <f>ROUNDDOWN(C654*(1+D656)*(1+D655),0)</f>
        <v>31467</v>
      </c>
      <c r="E654" s="79">
        <f>ROUNDDOWN(D654*(1+E656)*(1+E655),0)</f>
        <v>32725</v>
      </c>
      <c r="F654" s="79">
        <f>ROUNDDOWN(E654*(1+F656)*(1+F655),0)</f>
        <v>34034</v>
      </c>
      <c r="G654" s="79">
        <f>ROUNDDOWN(F654*(1+G656)*(1+G655),0)</f>
        <v>35395</v>
      </c>
      <c r="H654" s="79">
        <f>ROUNDDOWN(G654*(1+H656)*(1+H655),0)</f>
        <v>36810</v>
      </c>
    </row>
    <row r="655" spans="2:8" outlineLevel="2" x14ac:dyDescent="0.2">
      <c r="B655" s="724" t="s">
        <v>302</v>
      </c>
      <c r="C655" s="129">
        <f>+Supuestos!$D$14</f>
        <v>4.1000000000000002E-2</v>
      </c>
      <c r="D655" s="129">
        <f>+Supuestos!$E$14</f>
        <v>0.04</v>
      </c>
      <c r="E655" s="129">
        <f>+Supuestos!$F$14</f>
        <v>0.04</v>
      </c>
      <c r="F655" s="129">
        <f>+Supuestos!$G$14</f>
        <v>0.04</v>
      </c>
      <c r="G655" s="129">
        <f>+Supuestos!$H$14</f>
        <v>0.04</v>
      </c>
      <c r="H655" s="129">
        <f>+Supuestos!$I$14</f>
        <v>0.04</v>
      </c>
    </row>
    <row r="656" spans="2:8" outlineLevel="2" x14ac:dyDescent="0.2">
      <c r="B656" s="724" t="s">
        <v>303</v>
      </c>
      <c r="C656" s="79"/>
      <c r="D656" s="275">
        <v>0</v>
      </c>
      <c r="E656" s="275">
        <v>0</v>
      </c>
      <c r="F656" s="275">
        <v>0</v>
      </c>
      <c r="G656" s="275">
        <v>0</v>
      </c>
      <c r="H656" s="275">
        <v>0</v>
      </c>
    </row>
    <row r="657" spans="2:8" outlineLevel="2" x14ac:dyDescent="0.2">
      <c r="B657" s="722" t="s">
        <v>249</v>
      </c>
      <c r="C657" s="79">
        <f>+O280</f>
        <v>3078</v>
      </c>
      <c r="D657" s="79">
        <f>+C657*(1+D659)*(1+C658)</f>
        <v>3179.5739999999996</v>
      </c>
      <c r="E657" s="79">
        <f>+D657*(1+E659)*(1+D658)</f>
        <v>3294.0386639999997</v>
      </c>
      <c r="F657" s="79">
        <f>+E657*(1+F659)*(1+E658)</f>
        <v>3432.3882878879999</v>
      </c>
      <c r="G657" s="79">
        <f>+F657*(1+G659)*(1+F658)</f>
        <v>3597.1429257066243</v>
      </c>
      <c r="H657" s="79">
        <f>+G657*(1+H659)*(1+G658)</f>
        <v>3791.3886436947823</v>
      </c>
    </row>
    <row r="658" spans="2:8" outlineLevel="2" x14ac:dyDescent="0.2">
      <c r="B658" s="724" t="s">
        <v>304</v>
      </c>
      <c r="C658" s="129">
        <f>+Supuestos!$D$13</f>
        <v>3.3000000000000002E-2</v>
      </c>
      <c r="D658" s="129">
        <f>+Supuestos!$E$13</f>
        <v>3.5999999999999997E-2</v>
      </c>
      <c r="E658" s="129">
        <f>+Supuestos!$F$13</f>
        <v>4.2000000000000003E-2</v>
      </c>
      <c r="F658" s="129">
        <f>+Supuestos!$G$13</f>
        <v>4.8000000000000001E-2</v>
      </c>
      <c r="G658" s="129">
        <f>+Supuestos!$H$13</f>
        <v>5.3999999999999999E-2</v>
      </c>
      <c r="H658" s="129">
        <f>+Supuestos!$I$13</f>
        <v>0.06</v>
      </c>
    </row>
    <row r="659" spans="2:8" outlineLevel="2" x14ac:dyDescent="0.2">
      <c r="B659" s="724" t="s">
        <v>282</v>
      </c>
      <c r="C659" s="79"/>
      <c r="D659" s="275">
        <v>0</v>
      </c>
      <c r="E659" s="275">
        <v>0</v>
      </c>
      <c r="F659" s="275">
        <v>0</v>
      </c>
      <c r="G659" s="275">
        <v>0</v>
      </c>
      <c r="H659" s="275">
        <v>0</v>
      </c>
    </row>
    <row r="660" spans="2:8" ht="15" outlineLevel="2" x14ac:dyDescent="0.25">
      <c r="B660" s="725" t="s">
        <v>1</v>
      </c>
      <c r="C660" s="136">
        <f t="shared" ref="C660:H660" si="540">+C657*C654</f>
        <v>93132646.559999973</v>
      </c>
      <c r="D660" s="136">
        <f t="shared" si="540"/>
        <v>100051655.05799998</v>
      </c>
      <c r="E660" s="136">
        <f t="shared" si="540"/>
        <v>107797415.27939999</v>
      </c>
      <c r="F660" s="136">
        <f t="shared" si="540"/>
        <v>116817902.98998019</v>
      </c>
      <c r="G660" s="136">
        <f t="shared" si="540"/>
        <v>127320873.85538596</v>
      </c>
      <c r="H660" s="136">
        <f t="shared" si="540"/>
        <v>139561015.97440493</v>
      </c>
    </row>
    <row r="661" spans="2:8" ht="15" outlineLevel="1" x14ac:dyDescent="0.25">
      <c r="B661" s="723" t="str">
        <f>+B284</f>
        <v>Limón Tahití</v>
      </c>
      <c r="C661" s="128"/>
      <c r="D661" s="84"/>
      <c r="E661" s="84"/>
      <c r="F661" s="84"/>
      <c r="G661" s="84"/>
      <c r="H661" s="84"/>
    </row>
    <row r="662" spans="2:8" outlineLevel="2" x14ac:dyDescent="0.2">
      <c r="B662" s="724" t="s">
        <v>283</v>
      </c>
      <c r="C662" s="79">
        <f>+O285</f>
        <v>52849.079999999987</v>
      </c>
      <c r="D662" s="79">
        <f>ROUNDDOWN(C662*(1+D664)*(1+D663),0)</f>
        <v>54963</v>
      </c>
      <c r="E662" s="79">
        <f>ROUNDDOWN(D662*(1+E664)*(1+E663),0)</f>
        <v>57161</v>
      </c>
      <c r="F662" s="79">
        <f>ROUNDDOWN(E662*(1+F664)*(1+F663),0)</f>
        <v>59447</v>
      </c>
      <c r="G662" s="79">
        <f>ROUNDDOWN(F662*(1+G664)*(1+G663),0)</f>
        <v>61824</v>
      </c>
      <c r="H662" s="79">
        <f>ROUNDDOWN(G662*(1+H664)*(1+H663),0)</f>
        <v>64296</v>
      </c>
    </row>
    <row r="663" spans="2:8" outlineLevel="2" x14ac:dyDescent="0.2">
      <c r="B663" s="724" t="s">
        <v>302</v>
      </c>
      <c r="C663" s="129">
        <f>+Supuestos!$D$14</f>
        <v>4.1000000000000002E-2</v>
      </c>
      <c r="D663" s="129">
        <f>+Supuestos!$E$14</f>
        <v>0.04</v>
      </c>
      <c r="E663" s="129">
        <f>+Supuestos!$F$14</f>
        <v>0.04</v>
      </c>
      <c r="F663" s="129">
        <f>+Supuestos!$G$14</f>
        <v>0.04</v>
      </c>
      <c r="G663" s="129">
        <f>+Supuestos!$H$14</f>
        <v>0.04</v>
      </c>
      <c r="H663" s="129">
        <f>+Supuestos!$I$14</f>
        <v>0.04</v>
      </c>
    </row>
    <row r="664" spans="2:8" outlineLevel="2" x14ac:dyDescent="0.2">
      <c r="B664" s="724" t="s">
        <v>303</v>
      </c>
      <c r="C664" s="79"/>
      <c r="D664" s="275">
        <v>0</v>
      </c>
      <c r="E664" s="275">
        <v>0</v>
      </c>
      <c r="F664" s="275">
        <v>0</v>
      </c>
      <c r="G664" s="275">
        <v>0</v>
      </c>
      <c r="H664" s="275">
        <v>0</v>
      </c>
    </row>
    <row r="665" spans="2:8" outlineLevel="2" x14ac:dyDescent="0.2">
      <c r="B665" s="722" t="s">
        <v>249</v>
      </c>
      <c r="C665" s="79">
        <f>+O288</f>
        <v>3283.2</v>
      </c>
      <c r="D665" s="79">
        <f>+C665*(1+D667)*(1+C666)</f>
        <v>3391.5455999999995</v>
      </c>
      <c r="E665" s="79">
        <f>+D665*(1+E667)*(1+D666)</f>
        <v>3513.6412415999994</v>
      </c>
      <c r="F665" s="79">
        <f>+E665*(1+F667)*(1+E666)</f>
        <v>3661.2141737471993</v>
      </c>
      <c r="G665" s="79">
        <f>+F665*(1+G667)*(1+F666)</f>
        <v>3836.9524540870652</v>
      </c>
      <c r="H665" s="79">
        <f>+G665*(1+H667)*(1+G666)</f>
        <v>4044.1478866077668</v>
      </c>
    </row>
    <row r="666" spans="2:8" outlineLevel="2" x14ac:dyDescent="0.2">
      <c r="B666" s="724" t="s">
        <v>304</v>
      </c>
      <c r="C666" s="129">
        <f>+Supuestos!$D$13</f>
        <v>3.3000000000000002E-2</v>
      </c>
      <c r="D666" s="129">
        <f>+Supuestos!$E$13</f>
        <v>3.5999999999999997E-2</v>
      </c>
      <c r="E666" s="129">
        <f>+Supuestos!$F$13</f>
        <v>4.2000000000000003E-2</v>
      </c>
      <c r="F666" s="129">
        <f>+Supuestos!$G$13</f>
        <v>4.8000000000000001E-2</v>
      </c>
      <c r="G666" s="129">
        <f>+Supuestos!$H$13</f>
        <v>5.3999999999999999E-2</v>
      </c>
      <c r="H666" s="129">
        <f>+Supuestos!$I$13</f>
        <v>0.06</v>
      </c>
    </row>
    <row r="667" spans="2:8" outlineLevel="2" x14ac:dyDescent="0.2">
      <c r="B667" s="724" t="s">
        <v>282</v>
      </c>
      <c r="C667" s="79"/>
      <c r="D667" s="275">
        <v>0</v>
      </c>
      <c r="E667" s="275">
        <v>0</v>
      </c>
      <c r="F667" s="275">
        <v>0</v>
      </c>
      <c r="G667" s="275">
        <v>0</v>
      </c>
      <c r="H667" s="275">
        <v>0</v>
      </c>
    </row>
    <row r="668" spans="2:8" ht="15" outlineLevel="2" x14ac:dyDescent="0.25">
      <c r="B668" s="725" t="s">
        <v>1</v>
      </c>
      <c r="C668" s="136">
        <f t="shared" ref="C668:H668" si="541">+C665*C662</f>
        <v>173514099.45599994</v>
      </c>
      <c r="D668" s="136">
        <f t="shared" si="541"/>
        <v>186409520.81279996</v>
      </c>
      <c r="E668" s="136">
        <f t="shared" si="541"/>
        <v>200843247.01109755</v>
      </c>
      <c r="F668" s="136">
        <f t="shared" si="541"/>
        <v>217648198.98674977</v>
      </c>
      <c r="G668" s="136">
        <f t="shared" si="541"/>
        <v>237215748.52147871</v>
      </c>
      <c r="H668" s="136">
        <f t="shared" si="541"/>
        <v>260022532.51733297</v>
      </c>
    </row>
    <row r="669" spans="2:8" ht="15" outlineLevel="1" x14ac:dyDescent="0.25">
      <c r="B669" s="723" t="str">
        <f>+B292</f>
        <v>Lulo</v>
      </c>
      <c r="C669" s="128"/>
      <c r="D669" s="84"/>
      <c r="E669" s="84"/>
      <c r="F669" s="84"/>
      <c r="G669" s="84"/>
      <c r="H669" s="84"/>
    </row>
    <row r="670" spans="2:8" outlineLevel="2" x14ac:dyDescent="0.2">
      <c r="B670" s="724" t="s">
        <v>283</v>
      </c>
      <c r="C670" s="79">
        <f>+O293</f>
        <v>1661.1600000000005</v>
      </c>
      <c r="D670" s="79">
        <f>ROUNDDOWN(C670*(1+D672)*(1+D671),0)</f>
        <v>1727</v>
      </c>
      <c r="E670" s="79">
        <f>ROUNDDOWN(D670*(1+E672)*(1+E671),0)</f>
        <v>1796</v>
      </c>
      <c r="F670" s="79">
        <f>ROUNDDOWN(E670*(1+F672)*(1+F671),0)</f>
        <v>1867</v>
      </c>
      <c r="G670" s="79">
        <f>ROUNDDOWN(F670*(1+G672)*(1+G671),0)</f>
        <v>1941</v>
      </c>
      <c r="H670" s="79">
        <f>ROUNDDOWN(G670*(1+H672)*(1+H671),0)</f>
        <v>2018</v>
      </c>
    </row>
    <row r="671" spans="2:8" outlineLevel="2" x14ac:dyDescent="0.2">
      <c r="B671" s="724" t="s">
        <v>302</v>
      </c>
      <c r="C671" s="129">
        <f>+Supuestos!$D$14</f>
        <v>4.1000000000000002E-2</v>
      </c>
      <c r="D671" s="129">
        <f>+Supuestos!$E$14</f>
        <v>0.04</v>
      </c>
      <c r="E671" s="129">
        <f>+Supuestos!$F$14</f>
        <v>0.04</v>
      </c>
      <c r="F671" s="129">
        <f>+Supuestos!$G$14</f>
        <v>0.04</v>
      </c>
      <c r="G671" s="129">
        <f>+Supuestos!$H$14</f>
        <v>0.04</v>
      </c>
      <c r="H671" s="129">
        <f>+Supuestos!$I$14</f>
        <v>0.04</v>
      </c>
    </row>
    <row r="672" spans="2:8" outlineLevel="2" x14ac:dyDescent="0.2">
      <c r="B672" s="724" t="s">
        <v>303</v>
      </c>
      <c r="C672" s="79"/>
      <c r="D672" s="275">
        <v>0</v>
      </c>
      <c r="E672" s="275">
        <v>0</v>
      </c>
      <c r="F672" s="275">
        <v>0</v>
      </c>
      <c r="G672" s="275">
        <v>0</v>
      </c>
      <c r="H672" s="275">
        <v>0</v>
      </c>
    </row>
    <row r="673" spans="2:8" outlineLevel="2" x14ac:dyDescent="0.2">
      <c r="B673" s="722" t="s">
        <v>249</v>
      </c>
      <c r="C673" s="79">
        <f>+O296</f>
        <v>2872.8</v>
      </c>
      <c r="D673" s="79">
        <f>+C673*(1+D675)*(1+C674)</f>
        <v>2967.6023999999998</v>
      </c>
      <c r="E673" s="79">
        <f>+D673*(1+E675)*(1+D674)</f>
        <v>3074.4360864</v>
      </c>
      <c r="F673" s="79">
        <f>+E673*(1+F675)*(1+E674)</f>
        <v>3203.5624020288001</v>
      </c>
      <c r="G673" s="79">
        <f>+F673*(1+G675)*(1+F674)</f>
        <v>3357.3333973261824</v>
      </c>
      <c r="H673" s="79">
        <f>+G673*(1+H675)*(1+G674)</f>
        <v>3538.6294007817964</v>
      </c>
    </row>
    <row r="674" spans="2:8" outlineLevel="2" x14ac:dyDescent="0.2">
      <c r="B674" s="724" t="s">
        <v>304</v>
      </c>
      <c r="C674" s="129">
        <f>+Supuestos!$D$13</f>
        <v>3.3000000000000002E-2</v>
      </c>
      <c r="D674" s="129">
        <f>+Supuestos!$E$13</f>
        <v>3.5999999999999997E-2</v>
      </c>
      <c r="E674" s="129">
        <f>+Supuestos!$F$13</f>
        <v>4.2000000000000003E-2</v>
      </c>
      <c r="F674" s="129">
        <f>+Supuestos!$G$13</f>
        <v>4.8000000000000001E-2</v>
      </c>
      <c r="G674" s="129">
        <f>+Supuestos!$H$13</f>
        <v>5.3999999999999999E-2</v>
      </c>
      <c r="H674" s="129">
        <f>+Supuestos!$I$13</f>
        <v>0.06</v>
      </c>
    </row>
    <row r="675" spans="2:8" outlineLevel="2" x14ac:dyDescent="0.2">
      <c r="B675" s="724" t="s">
        <v>282</v>
      </c>
      <c r="C675" s="79"/>
      <c r="D675" s="275">
        <v>0</v>
      </c>
      <c r="E675" s="275">
        <v>0</v>
      </c>
      <c r="F675" s="275">
        <v>0</v>
      </c>
      <c r="G675" s="275">
        <v>0</v>
      </c>
      <c r="H675" s="275">
        <v>0</v>
      </c>
    </row>
    <row r="676" spans="2:8" ht="15" outlineLevel="2" x14ac:dyDescent="0.25">
      <c r="B676" s="725" t="s">
        <v>1</v>
      </c>
      <c r="C676" s="136">
        <f>+C673*C670</f>
        <v>4772180.4480000017</v>
      </c>
      <c r="D676" s="136">
        <f t="shared" ref="D676:H676" si="542">+D673*D670</f>
        <v>5125049.3447999991</v>
      </c>
      <c r="E676" s="136">
        <f t="shared" si="542"/>
        <v>5521687.2111743996</v>
      </c>
      <c r="F676" s="136">
        <f t="shared" si="542"/>
        <v>5981051.0045877695</v>
      </c>
      <c r="G676" s="136">
        <f t="shared" si="542"/>
        <v>6516584.1242101202</v>
      </c>
      <c r="H676" s="136">
        <f t="shared" si="542"/>
        <v>7140954.1307776654</v>
      </c>
    </row>
    <row r="677" spans="2:8" ht="15" outlineLevel="1" x14ac:dyDescent="0.25">
      <c r="B677" s="723" t="str">
        <f>+B300</f>
        <v>Mandarina Oneco</v>
      </c>
      <c r="C677" s="128"/>
      <c r="D677" s="84"/>
      <c r="E677" s="84"/>
      <c r="F677" s="84"/>
      <c r="G677" s="84"/>
      <c r="H677" s="84"/>
    </row>
    <row r="678" spans="2:8" outlineLevel="2" x14ac:dyDescent="0.2">
      <c r="B678" s="724" t="s">
        <v>283</v>
      </c>
      <c r="C678" s="79">
        <f>+O301</f>
        <v>853.68</v>
      </c>
      <c r="D678" s="79">
        <f>ROUNDDOWN(C678*(1+D680)*(1+D679),0)</f>
        <v>887</v>
      </c>
      <c r="E678" s="79">
        <f>ROUNDDOWN(D678*(1+E680)*(1+E679),0)</f>
        <v>922</v>
      </c>
      <c r="F678" s="79">
        <f>ROUNDDOWN(E678*(1+F680)*(1+F679),0)</f>
        <v>958</v>
      </c>
      <c r="G678" s="79">
        <f>ROUNDDOWN(F678*(1+G680)*(1+G679),0)</f>
        <v>996</v>
      </c>
      <c r="H678" s="79">
        <f>ROUNDDOWN(G678*(1+H680)*(1+H679),0)</f>
        <v>1035</v>
      </c>
    </row>
    <row r="679" spans="2:8" outlineLevel="2" x14ac:dyDescent="0.2">
      <c r="B679" s="724" t="s">
        <v>302</v>
      </c>
      <c r="C679" s="129">
        <f>+Supuestos!$D$14</f>
        <v>4.1000000000000002E-2</v>
      </c>
      <c r="D679" s="129">
        <f>+Supuestos!$E$14</f>
        <v>0.04</v>
      </c>
      <c r="E679" s="129">
        <f>+Supuestos!$F$14</f>
        <v>0.04</v>
      </c>
      <c r="F679" s="129">
        <f>+Supuestos!$G$14</f>
        <v>0.04</v>
      </c>
      <c r="G679" s="129">
        <f>+Supuestos!$H$14</f>
        <v>0.04</v>
      </c>
      <c r="H679" s="129">
        <f>+Supuestos!$I$14</f>
        <v>0.04</v>
      </c>
    </row>
    <row r="680" spans="2:8" outlineLevel="2" x14ac:dyDescent="0.2">
      <c r="B680" s="724" t="s">
        <v>303</v>
      </c>
      <c r="C680" s="79"/>
      <c r="D680" s="275">
        <v>0</v>
      </c>
      <c r="E680" s="275">
        <v>0</v>
      </c>
      <c r="F680" s="275">
        <v>0</v>
      </c>
      <c r="G680" s="275">
        <v>0</v>
      </c>
      <c r="H680" s="275">
        <v>0</v>
      </c>
    </row>
    <row r="681" spans="2:8" outlineLevel="2" x14ac:dyDescent="0.2">
      <c r="B681" s="722" t="s">
        <v>249</v>
      </c>
      <c r="C681" s="79">
        <f>+O304</f>
        <v>2701.46</v>
      </c>
      <c r="D681" s="79">
        <f>+C681*(1+D683)*(1+C682)</f>
        <v>2790.6081799999997</v>
      </c>
      <c r="E681" s="79">
        <f>+D681*(1+E683)*(1+D682)</f>
        <v>2891.0700744799997</v>
      </c>
      <c r="F681" s="79">
        <f>+E681*(1+F683)*(1+E682)</f>
        <v>3012.4950176081597</v>
      </c>
      <c r="G681" s="79">
        <f>+F681*(1+G683)*(1+F682)</f>
        <v>3157.0947784533514</v>
      </c>
      <c r="H681" s="79">
        <f>+G681*(1+H683)*(1+G682)</f>
        <v>3327.5778964898327</v>
      </c>
    </row>
    <row r="682" spans="2:8" outlineLevel="2" x14ac:dyDescent="0.2">
      <c r="B682" s="724" t="s">
        <v>304</v>
      </c>
      <c r="C682" s="129">
        <f>+Supuestos!$D$13</f>
        <v>3.3000000000000002E-2</v>
      </c>
      <c r="D682" s="129">
        <f>+Supuestos!$E$13</f>
        <v>3.5999999999999997E-2</v>
      </c>
      <c r="E682" s="129">
        <f>+Supuestos!$F$13</f>
        <v>4.2000000000000003E-2</v>
      </c>
      <c r="F682" s="129">
        <f>+Supuestos!$G$13</f>
        <v>4.8000000000000001E-2</v>
      </c>
      <c r="G682" s="129">
        <f>+Supuestos!$H$13</f>
        <v>5.3999999999999999E-2</v>
      </c>
      <c r="H682" s="129">
        <f>+Supuestos!$I$13</f>
        <v>0.06</v>
      </c>
    </row>
    <row r="683" spans="2:8" outlineLevel="2" x14ac:dyDescent="0.2">
      <c r="B683" s="724" t="s">
        <v>282</v>
      </c>
      <c r="C683" s="79"/>
      <c r="D683" s="275">
        <v>0</v>
      </c>
      <c r="E683" s="275">
        <v>0</v>
      </c>
      <c r="F683" s="275">
        <v>0</v>
      </c>
      <c r="G683" s="275">
        <v>0</v>
      </c>
      <c r="H683" s="275">
        <v>0</v>
      </c>
    </row>
    <row r="684" spans="2:8" ht="15" outlineLevel="2" x14ac:dyDescent="0.25">
      <c r="B684" s="725" t="s">
        <v>1</v>
      </c>
      <c r="C684" s="136">
        <f>+C681*C678</f>
        <v>2306182.3728</v>
      </c>
      <c r="D684" s="136">
        <f t="shared" ref="D684:H684" si="543">+D681*D678</f>
        <v>2475269.45566</v>
      </c>
      <c r="E684" s="136">
        <f t="shared" si="543"/>
        <v>2665566.6086705597</v>
      </c>
      <c r="F684" s="136">
        <f t="shared" si="543"/>
        <v>2885970.2268686169</v>
      </c>
      <c r="G684" s="136">
        <f t="shared" si="543"/>
        <v>3144466.3993395381</v>
      </c>
      <c r="H684" s="136">
        <f t="shared" si="543"/>
        <v>3444043.122866977</v>
      </c>
    </row>
    <row r="685" spans="2:8" ht="15" outlineLevel="1" x14ac:dyDescent="0.25">
      <c r="B685" s="723" t="str">
        <f>+B308</f>
        <v>Mango Tommy</v>
      </c>
      <c r="C685" s="128"/>
      <c r="D685" s="84"/>
      <c r="E685" s="84"/>
      <c r="F685" s="84"/>
      <c r="G685" s="84"/>
      <c r="H685" s="84"/>
    </row>
    <row r="686" spans="2:8" outlineLevel="2" x14ac:dyDescent="0.2">
      <c r="B686" s="724" t="s">
        <v>283</v>
      </c>
      <c r="C686" s="79">
        <f>+O309</f>
        <v>1626.12</v>
      </c>
      <c r="D686" s="79">
        <f>ROUNDDOWN(C686*(1+D688)*(1+D687),0)</f>
        <v>1691</v>
      </c>
      <c r="E686" s="79">
        <f>ROUNDDOWN(D686*(1+E688)*(1+E687),0)</f>
        <v>1758</v>
      </c>
      <c r="F686" s="79">
        <f>ROUNDDOWN(E686*(1+F688)*(1+F687),0)</f>
        <v>1828</v>
      </c>
      <c r="G686" s="79">
        <f>ROUNDDOWN(F686*(1+G688)*(1+G687),0)</f>
        <v>1901</v>
      </c>
      <c r="H686" s="79">
        <f>ROUNDDOWN(G686*(1+H688)*(1+H687),0)</f>
        <v>1977</v>
      </c>
    </row>
    <row r="687" spans="2:8" outlineLevel="2" x14ac:dyDescent="0.2">
      <c r="B687" s="724" t="s">
        <v>302</v>
      </c>
      <c r="C687" s="129">
        <f>+Supuestos!$D$14</f>
        <v>4.1000000000000002E-2</v>
      </c>
      <c r="D687" s="129">
        <f>+Supuestos!$E$14</f>
        <v>0.04</v>
      </c>
      <c r="E687" s="129">
        <f>+Supuestos!$F$14</f>
        <v>0.04</v>
      </c>
      <c r="F687" s="129">
        <f>+Supuestos!$G$14</f>
        <v>0.04</v>
      </c>
      <c r="G687" s="129">
        <f>+Supuestos!$H$14</f>
        <v>0.04</v>
      </c>
      <c r="H687" s="129">
        <f>+Supuestos!$I$14</f>
        <v>0.04</v>
      </c>
    </row>
    <row r="688" spans="2:8" outlineLevel="2" x14ac:dyDescent="0.2">
      <c r="B688" s="724" t="s">
        <v>303</v>
      </c>
      <c r="C688" s="79"/>
      <c r="D688" s="275">
        <v>0</v>
      </c>
      <c r="E688" s="275">
        <v>0</v>
      </c>
      <c r="F688" s="275">
        <v>0</v>
      </c>
      <c r="G688" s="275">
        <v>0</v>
      </c>
      <c r="H688" s="275">
        <v>0</v>
      </c>
    </row>
    <row r="689" spans="2:8" outlineLevel="2" x14ac:dyDescent="0.2">
      <c r="B689" s="722" t="s">
        <v>249</v>
      </c>
      <c r="C689" s="79">
        <f>+O312</f>
        <v>2736.34</v>
      </c>
      <c r="D689" s="79">
        <f>+C689*(1+D691)*(1+C690)</f>
        <v>2826.63922</v>
      </c>
      <c r="E689" s="79">
        <f>+D689*(1+E691)*(1+D690)</f>
        <v>2928.3982319199999</v>
      </c>
      <c r="F689" s="79">
        <f>+E689*(1+F691)*(1+E690)</f>
        <v>3051.3909576606402</v>
      </c>
      <c r="G689" s="79">
        <f>+F689*(1+G691)*(1+F690)</f>
        <v>3197.8577236283509</v>
      </c>
      <c r="H689" s="79">
        <f>+G689*(1+H691)*(1+G690)</f>
        <v>3370.542040704282</v>
      </c>
    </row>
    <row r="690" spans="2:8" outlineLevel="2" x14ac:dyDescent="0.2">
      <c r="B690" s="724" t="s">
        <v>304</v>
      </c>
      <c r="C690" s="129">
        <f>+Supuestos!$D$13</f>
        <v>3.3000000000000002E-2</v>
      </c>
      <c r="D690" s="129">
        <f>+Supuestos!$E$13</f>
        <v>3.5999999999999997E-2</v>
      </c>
      <c r="E690" s="129">
        <f>+Supuestos!$F$13</f>
        <v>4.2000000000000003E-2</v>
      </c>
      <c r="F690" s="129">
        <f>+Supuestos!$G$13</f>
        <v>4.8000000000000001E-2</v>
      </c>
      <c r="G690" s="129">
        <f>+Supuestos!$H$13</f>
        <v>5.3999999999999999E-2</v>
      </c>
      <c r="H690" s="129">
        <f>+Supuestos!$I$13</f>
        <v>0.06</v>
      </c>
    </row>
    <row r="691" spans="2:8" outlineLevel="2" x14ac:dyDescent="0.2">
      <c r="B691" s="724" t="s">
        <v>282</v>
      </c>
      <c r="C691" s="79"/>
      <c r="D691" s="275">
        <v>0</v>
      </c>
      <c r="E691" s="275">
        <v>0</v>
      </c>
      <c r="F691" s="275">
        <v>0</v>
      </c>
      <c r="G691" s="275">
        <v>0</v>
      </c>
      <c r="H691" s="275">
        <v>0</v>
      </c>
    </row>
    <row r="692" spans="2:8" ht="15" outlineLevel="2" x14ac:dyDescent="0.25">
      <c r="B692" s="725" t="s">
        <v>1</v>
      </c>
      <c r="C692" s="136">
        <f>+C689*C686</f>
        <v>4449617.2007999998</v>
      </c>
      <c r="D692" s="136">
        <f t="shared" ref="D692:H692" si="544">+D689*D686</f>
        <v>4779846.9210200002</v>
      </c>
      <c r="E692" s="136">
        <f t="shared" si="544"/>
        <v>5148124.0917153601</v>
      </c>
      <c r="F692" s="136">
        <f t="shared" si="544"/>
        <v>5577942.6706036506</v>
      </c>
      <c r="G692" s="136">
        <f t="shared" si="544"/>
        <v>6079127.5326174954</v>
      </c>
      <c r="H692" s="136">
        <f t="shared" si="544"/>
        <v>6663561.6144723659</v>
      </c>
    </row>
    <row r="693" spans="2:8" ht="15" outlineLevel="1" x14ac:dyDescent="0.25">
      <c r="B693" s="723" t="str">
        <f>+B316</f>
        <v>Maracuyá Regional</v>
      </c>
      <c r="C693" s="128"/>
      <c r="D693" s="84"/>
      <c r="E693" s="84"/>
      <c r="F693" s="84"/>
      <c r="G693" s="84"/>
      <c r="H693" s="84"/>
    </row>
    <row r="694" spans="2:8" outlineLevel="2" x14ac:dyDescent="0.2">
      <c r="B694" s="724" t="s">
        <v>283</v>
      </c>
      <c r="C694" s="79">
        <f>+O317</f>
        <v>2683.08</v>
      </c>
      <c r="D694" s="79">
        <f>ROUNDDOWN(C694*(1+D696)*(1+D695),0)</f>
        <v>2790</v>
      </c>
      <c r="E694" s="79">
        <f>ROUNDDOWN(D694*(1+E696)*(1+E695),0)</f>
        <v>2901</v>
      </c>
      <c r="F694" s="79">
        <f>ROUNDDOWN(E694*(1+F696)*(1+F695),0)</f>
        <v>3017</v>
      </c>
      <c r="G694" s="79">
        <f>ROUNDDOWN(F694*(1+G696)*(1+G695),0)</f>
        <v>3137</v>
      </c>
      <c r="H694" s="79">
        <f>ROUNDDOWN(G694*(1+H696)*(1+H695),0)</f>
        <v>3262</v>
      </c>
    </row>
    <row r="695" spans="2:8" outlineLevel="2" x14ac:dyDescent="0.2">
      <c r="B695" s="724" t="s">
        <v>302</v>
      </c>
      <c r="C695" s="129">
        <f>+Supuestos!$D$14</f>
        <v>4.1000000000000002E-2</v>
      </c>
      <c r="D695" s="129">
        <f>+Supuestos!$E$14</f>
        <v>0.04</v>
      </c>
      <c r="E695" s="129">
        <f>+Supuestos!$F$14</f>
        <v>0.04</v>
      </c>
      <c r="F695" s="129">
        <f>+Supuestos!$G$14</f>
        <v>0.04</v>
      </c>
      <c r="G695" s="129">
        <f>+Supuestos!$H$14</f>
        <v>0.04</v>
      </c>
      <c r="H695" s="129">
        <f>+Supuestos!$I$14</f>
        <v>0.04</v>
      </c>
    </row>
    <row r="696" spans="2:8" outlineLevel="2" x14ac:dyDescent="0.2">
      <c r="B696" s="724" t="s">
        <v>303</v>
      </c>
      <c r="C696" s="79"/>
      <c r="D696" s="275">
        <v>0</v>
      </c>
      <c r="E696" s="275">
        <v>0</v>
      </c>
      <c r="F696" s="275">
        <v>0</v>
      </c>
      <c r="G696" s="275">
        <v>0</v>
      </c>
      <c r="H696" s="275">
        <v>0</v>
      </c>
    </row>
    <row r="697" spans="2:8" outlineLevel="2" x14ac:dyDescent="0.2">
      <c r="B697" s="722" t="s">
        <v>249</v>
      </c>
      <c r="C697" s="79">
        <f>+O320</f>
        <v>2052</v>
      </c>
      <c r="D697" s="79">
        <f>+C697*(1+D699)*(1+C698)</f>
        <v>2119.7159999999999</v>
      </c>
      <c r="E697" s="79">
        <f>+D697*(1+E699)*(1+D698)</f>
        <v>2196.025776</v>
      </c>
      <c r="F697" s="79">
        <f>+E697*(1+F699)*(1+E698)</f>
        <v>2288.2588585920003</v>
      </c>
      <c r="G697" s="79">
        <f>+F697*(1+G699)*(1+F698)</f>
        <v>2398.0952838044163</v>
      </c>
      <c r="H697" s="79">
        <f>+G697*(1+H699)*(1+G698)</f>
        <v>2527.5924291298547</v>
      </c>
    </row>
    <row r="698" spans="2:8" outlineLevel="2" x14ac:dyDescent="0.2">
      <c r="B698" s="724" t="s">
        <v>304</v>
      </c>
      <c r="C698" s="129">
        <f>+Supuestos!$D$13</f>
        <v>3.3000000000000002E-2</v>
      </c>
      <c r="D698" s="129">
        <f>+Supuestos!$E$13</f>
        <v>3.5999999999999997E-2</v>
      </c>
      <c r="E698" s="129">
        <f>+Supuestos!$F$13</f>
        <v>4.2000000000000003E-2</v>
      </c>
      <c r="F698" s="129">
        <f>+Supuestos!$G$13</f>
        <v>4.8000000000000001E-2</v>
      </c>
      <c r="G698" s="129">
        <f>+Supuestos!$H$13</f>
        <v>5.3999999999999999E-2</v>
      </c>
      <c r="H698" s="129">
        <f>+Supuestos!$I$13</f>
        <v>0.06</v>
      </c>
    </row>
    <row r="699" spans="2:8" outlineLevel="2" x14ac:dyDescent="0.2">
      <c r="B699" s="724" t="s">
        <v>282</v>
      </c>
      <c r="C699" s="79"/>
      <c r="D699" s="275">
        <v>0</v>
      </c>
      <c r="E699" s="275">
        <v>0</v>
      </c>
      <c r="F699" s="275">
        <v>0</v>
      </c>
      <c r="G699" s="275">
        <v>0</v>
      </c>
      <c r="H699" s="275">
        <v>0</v>
      </c>
    </row>
    <row r="700" spans="2:8" ht="15" outlineLevel="2" x14ac:dyDescent="0.25">
      <c r="B700" s="725" t="s">
        <v>1</v>
      </c>
      <c r="C700" s="136">
        <f>+C697*C694</f>
        <v>5505680.1600000001</v>
      </c>
      <c r="D700" s="136">
        <f t="shared" ref="D700:H700" si="545">+D697*D694</f>
        <v>5914007.6399999997</v>
      </c>
      <c r="E700" s="136">
        <f t="shared" si="545"/>
        <v>6370670.776176</v>
      </c>
      <c r="F700" s="136">
        <f t="shared" si="545"/>
        <v>6903676.976372065</v>
      </c>
      <c r="G700" s="136">
        <f t="shared" si="545"/>
        <v>7522824.9052944537</v>
      </c>
      <c r="H700" s="136">
        <f t="shared" si="545"/>
        <v>8245006.5038215863</v>
      </c>
    </row>
    <row r="701" spans="2:8" ht="15" outlineLevel="1" x14ac:dyDescent="0.25">
      <c r="B701" s="723" t="str">
        <f>+B324</f>
        <v>Mora Castilla</v>
      </c>
      <c r="C701" s="128"/>
      <c r="D701" s="84"/>
      <c r="E701" s="84"/>
      <c r="F701" s="84"/>
      <c r="G701" s="84"/>
      <c r="H701" s="84"/>
    </row>
    <row r="702" spans="2:8" outlineLevel="2" x14ac:dyDescent="0.2">
      <c r="B702" s="724" t="s">
        <v>283</v>
      </c>
      <c r="C702" s="79">
        <f>+O325</f>
        <v>2113.9200000000005</v>
      </c>
      <c r="D702" s="79">
        <f>ROUNDDOWN(C702*(1+D704)*(1+D703),0)</f>
        <v>2198</v>
      </c>
      <c r="E702" s="79">
        <f>ROUNDDOWN(D702*(1+E704)*(1+E703),0)</f>
        <v>2285</v>
      </c>
      <c r="F702" s="79">
        <f>ROUNDDOWN(E702*(1+F704)*(1+F703),0)</f>
        <v>2376</v>
      </c>
      <c r="G702" s="79">
        <f>ROUNDDOWN(F702*(1+G704)*(1+G703),0)</f>
        <v>2471</v>
      </c>
      <c r="H702" s="79">
        <f>ROUNDDOWN(G702*(1+H704)*(1+H703),0)</f>
        <v>2569</v>
      </c>
    </row>
    <row r="703" spans="2:8" outlineLevel="2" x14ac:dyDescent="0.2">
      <c r="B703" s="724" t="s">
        <v>302</v>
      </c>
      <c r="C703" s="129">
        <f>+Supuestos!$D$14</f>
        <v>4.1000000000000002E-2</v>
      </c>
      <c r="D703" s="129">
        <f>+Supuestos!$E$14</f>
        <v>0.04</v>
      </c>
      <c r="E703" s="129">
        <f>+Supuestos!$F$14</f>
        <v>0.04</v>
      </c>
      <c r="F703" s="129">
        <f>+Supuestos!$G$14</f>
        <v>0.04</v>
      </c>
      <c r="G703" s="129">
        <f>+Supuestos!$H$14</f>
        <v>0.04</v>
      </c>
      <c r="H703" s="129">
        <f>+Supuestos!$I$14</f>
        <v>0.04</v>
      </c>
    </row>
    <row r="704" spans="2:8" outlineLevel="2" x14ac:dyDescent="0.2">
      <c r="B704" s="724" t="s">
        <v>303</v>
      </c>
      <c r="C704" s="79"/>
      <c r="D704" s="275">
        <v>0</v>
      </c>
      <c r="E704" s="275">
        <v>0</v>
      </c>
      <c r="F704" s="275">
        <v>0</v>
      </c>
      <c r="G704" s="275">
        <v>0</v>
      </c>
      <c r="H704" s="275">
        <v>0</v>
      </c>
    </row>
    <row r="705" spans="2:8" outlineLevel="2" x14ac:dyDescent="0.2">
      <c r="B705" s="722" t="s">
        <v>249</v>
      </c>
      <c r="C705" s="79">
        <f>+O328</f>
        <v>2223.34</v>
      </c>
      <c r="D705" s="79">
        <f>+C705*(1+D707)*(1+C706)</f>
        <v>2296.7102199999999</v>
      </c>
      <c r="E705" s="79">
        <f>+D705*(1+E707)*(1+D706)</f>
        <v>2379.3917879199998</v>
      </c>
      <c r="F705" s="79">
        <f>+E705*(1+F707)*(1+E706)</f>
        <v>2479.3262430126401</v>
      </c>
      <c r="G705" s="79">
        <f>+F705*(1+G707)*(1+F706)</f>
        <v>2598.3339026772469</v>
      </c>
      <c r="H705" s="79">
        <f>+G705*(1+H707)*(1+G706)</f>
        <v>2738.6439334218185</v>
      </c>
    </row>
    <row r="706" spans="2:8" outlineLevel="2" x14ac:dyDescent="0.2">
      <c r="B706" s="724" t="s">
        <v>304</v>
      </c>
      <c r="C706" s="129">
        <f>+Supuestos!$D$13</f>
        <v>3.3000000000000002E-2</v>
      </c>
      <c r="D706" s="129">
        <f>+Supuestos!$E$13</f>
        <v>3.5999999999999997E-2</v>
      </c>
      <c r="E706" s="129">
        <f>+Supuestos!$F$13</f>
        <v>4.2000000000000003E-2</v>
      </c>
      <c r="F706" s="129">
        <f>+Supuestos!$G$13</f>
        <v>4.8000000000000001E-2</v>
      </c>
      <c r="G706" s="129">
        <f>+Supuestos!$H$13</f>
        <v>5.3999999999999999E-2</v>
      </c>
      <c r="H706" s="129">
        <f>+Supuestos!$I$13</f>
        <v>0.06</v>
      </c>
    </row>
    <row r="707" spans="2:8" outlineLevel="2" x14ac:dyDescent="0.2">
      <c r="B707" s="724" t="s">
        <v>282</v>
      </c>
      <c r="C707" s="79"/>
      <c r="D707" s="275">
        <v>0</v>
      </c>
      <c r="E707" s="275">
        <v>0</v>
      </c>
      <c r="F707" s="275">
        <v>0</v>
      </c>
      <c r="G707" s="275">
        <v>0</v>
      </c>
      <c r="H707" s="275">
        <v>0</v>
      </c>
    </row>
    <row r="708" spans="2:8" ht="15" outlineLevel="2" x14ac:dyDescent="0.25">
      <c r="B708" s="725" t="s">
        <v>1</v>
      </c>
      <c r="C708" s="136">
        <f>+C705*C702</f>
        <v>4699962.8928000014</v>
      </c>
      <c r="D708" s="136">
        <f t="shared" ref="D708:H708" si="546">+D705*D702</f>
        <v>5048169.0635599997</v>
      </c>
      <c r="E708" s="136">
        <f t="shared" si="546"/>
        <v>5436910.2353972001</v>
      </c>
      <c r="F708" s="136">
        <f t="shared" si="546"/>
        <v>5890879.1533980332</v>
      </c>
      <c r="G708" s="136">
        <f t="shared" si="546"/>
        <v>6420483.0735154767</v>
      </c>
      <c r="H708" s="136">
        <f t="shared" si="546"/>
        <v>7035576.2649606513</v>
      </c>
    </row>
    <row r="709" spans="2:8" ht="15" outlineLevel="1" x14ac:dyDescent="0.25">
      <c r="B709" s="723" t="str">
        <f>+B332</f>
        <v>Naranja Tanjelo</v>
      </c>
      <c r="C709" s="128"/>
      <c r="D709" s="84"/>
      <c r="E709" s="84"/>
      <c r="F709" s="84"/>
      <c r="G709" s="84"/>
      <c r="H709" s="84"/>
    </row>
    <row r="710" spans="2:8" outlineLevel="2" x14ac:dyDescent="0.2">
      <c r="B710" s="724" t="s">
        <v>283</v>
      </c>
      <c r="C710" s="79">
        <f>+O333</f>
        <v>853.68</v>
      </c>
      <c r="D710" s="79">
        <f>ROUNDDOWN(C710*(1+D712)*(1+D711),0)</f>
        <v>887</v>
      </c>
      <c r="E710" s="79">
        <f>ROUNDDOWN(D710*(1+E712)*(1+E711),0)</f>
        <v>922</v>
      </c>
      <c r="F710" s="79">
        <f>ROUNDDOWN(E710*(1+F712)*(1+F711),0)</f>
        <v>958</v>
      </c>
      <c r="G710" s="79">
        <f>ROUNDDOWN(F710*(1+G712)*(1+G711),0)</f>
        <v>996</v>
      </c>
      <c r="H710" s="79">
        <f>ROUNDDOWN(G710*(1+H712)*(1+H711),0)</f>
        <v>1035</v>
      </c>
    </row>
    <row r="711" spans="2:8" outlineLevel="2" x14ac:dyDescent="0.2">
      <c r="B711" s="724" t="s">
        <v>302</v>
      </c>
      <c r="C711" s="129">
        <f>+Supuestos!$D$14</f>
        <v>4.1000000000000002E-2</v>
      </c>
      <c r="D711" s="129">
        <f>+Supuestos!$E$14</f>
        <v>0.04</v>
      </c>
      <c r="E711" s="129">
        <f>+Supuestos!$F$14</f>
        <v>0.04</v>
      </c>
      <c r="F711" s="129">
        <f>+Supuestos!$G$14</f>
        <v>0.04</v>
      </c>
      <c r="G711" s="129">
        <f>+Supuestos!$H$14</f>
        <v>0.04</v>
      </c>
      <c r="H711" s="129">
        <f>+Supuestos!$I$14</f>
        <v>0.04</v>
      </c>
    </row>
    <row r="712" spans="2:8" outlineLevel="2" x14ac:dyDescent="0.2">
      <c r="B712" s="724" t="s">
        <v>303</v>
      </c>
      <c r="C712" s="79"/>
      <c r="D712" s="275">
        <v>0</v>
      </c>
      <c r="E712" s="275">
        <v>0</v>
      </c>
      <c r="F712" s="275">
        <v>0</v>
      </c>
      <c r="G712" s="275">
        <v>0</v>
      </c>
      <c r="H712" s="275">
        <v>0</v>
      </c>
    </row>
    <row r="713" spans="2:8" outlineLevel="2" x14ac:dyDescent="0.2">
      <c r="B713" s="722" t="s">
        <v>249</v>
      </c>
      <c r="C713" s="79">
        <f>+O336</f>
        <v>2872.8</v>
      </c>
      <c r="D713" s="79">
        <f>+C713*(1+D715)*(1+C714)</f>
        <v>2967.6023999999998</v>
      </c>
      <c r="E713" s="79">
        <f>+D713*(1+E715)*(1+D714)</f>
        <v>3074.4360864</v>
      </c>
      <c r="F713" s="79">
        <f>+E713*(1+F715)*(1+E714)</f>
        <v>3203.5624020288001</v>
      </c>
      <c r="G713" s="79">
        <f>+F713*(1+G715)*(1+F714)</f>
        <v>3357.3333973261824</v>
      </c>
      <c r="H713" s="79">
        <f>+G713*(1+H715)*(1+G714)</f>
        <v>3538.6294007817964</v>
      </c>
    </row>
    <row r="714" spans="2:8" outlineLevel="2" x14ac:dyDescent="0.2">
      <c r="B714" s="724" t="s">
        <v>304</v>
      </c>
      <c r="C714" s="129">
        <f>+Supuestos!$D$13</f>
        <v>3.3000000000000002E-2</v>
      </c>
      <c r="D714" s="129">
        <f>+Supuestos!$E$13</f>
        <v>3.5999999999999997E-2</v>
      </c>
      <c r="E714" s="129">
        <f>+Supuestos!$F$13</f>
        <v>4.2000000000000003E-2</v>
      </c>
      <c r="F714" s="129">
        <f>+Supuestos!$G$13</f>
        <v>4.8000000000000001E-2</v>
      </c>
      <c r="G714" s="129">
        <f>+Supuestos!$H$13</f>
        <v>5.3999999999999999E-2</v>
      </c>
      <c r="H714" s="129">
        <f>+Supuestos!$I$13</f>
        <v>0.06</v>
      </c>
    </row>
    <row r="715" spans="2:8" outlineLevel="2" x14ac:dyDescent="0.2">
      <c r="B715" s="724" t="s">
        <v>282</v>
      </c>
      <c r="C715" s="79"/>
      <c r="D715" s="275">
        <v>0</v>
      </c>
      <c r="E715" s="275">
        <v>0</v>
      </c>
      <c r="F715" s="275">
        <v>0</v>
      </c>
      <c r="G715" s="275">
        <v>0</v>
      </c>
      <c r="H715" s="275">
        <v>0</v>
      </c>
    </row>
    <row r="716" spans="2:8" ht="15" outlineLevel="2" x14ac:dyDescent="0.25">
      <c r="B716" s="725" t="s">
        <v>1</v>
      </c>
      <c r="C716" s="136">
        <f>+C713*C710</f>
        <v>2452451.9040000001</v>
      </c>
      <c r="D716" s="136">
        <f t="shared" ref="D716:H716" si="547">+D713*D710</f>
        <v>2632263.3287999998</v>
      </c>
      <c r="E716" s="136">
        <f t="shared" si="547"/>
        <v>2834630.0716607999</v>
      </c>
      <c r="F716" s="136">
        <f t="shared" si="547"/>
        <v>3069012.7811435903</v>
      </c>
      <c r="G716" s="136">
        <f t="shared" si="547"/>
        <v>3343904.0637368779</v>
      </c>
      <c r="H716" s="136">
        <f t="shared" si="547"/>
        <v>3662481.4298091591</v>
      </c>
    </row>
    <row r="717" spans="2:8" ht="15" outlineLevel="1" x14ac:dyDescent="0.25">
      <c r="B717" s="723" t="str">
        <f>+B340</f>
        <v>Papaya Hawaiana</v>
      </c>
      <c r="C717" s="128"/>
      <c r="D717" s="84"/>
      <c r="E717" s="84"/>
      <c r="F717" s="84"/>
      <c r="G717" s="84"/>
      <c r="H717" s="84"/>
    </row>
    <row r="718" spans="2:8" outlineLevel="2" x14ac:dyDescent="0.2">
      <c r="B718" s="724" t="s">
        <v>283</v>
      </c>
      <c r="C718" s="79">
        <f>+O341</f>
        <v>1341.5999999999997</v>
      </c>
      <c r="D718" s="79">
        <f>ROUNDDOWN(C718*(1+D720)*(1+D719),0)</f>
        <v>1395</v>
      </c>
      <c r="E718" s="79">
        <f>ROUNDDOWN(D718*(1+E720)*(1+E719),0)</f>
        <v>1450</v>
      </c>
      <c r="F718" s="79">
        <f>ROUNDDOWN(E718*(1+F720)*(1+F719),0)</f>
        <v>1508</v>
      </c>
      <c r="G718" s="79">
        <f>ROUNDDOWN(F718*(1+G720)*(1+G719),0)</f>
        <v>1568</v>
      </c>
      <c r="H718" s="79">
        <f>ROUNDDOWN(G718*(1+H720)*(1+H719),0)</f>
        <v>1630</v>
      </c>
    </row>
    <row r="719" spans="2:8" outlineLevel="2" x14ac:dyDescent="0.2">
      <c r="B719" s="724" t="s">
        <v>302</v>
      </c>
      <c r="C719" s="129">
        <f>+Supuestos!$D$14</f>
        <v>4.1000000000000002E-2</v>
      </c>
      <c r="D719" s="129">
        <f>+Supuestos!$E$14</f>
        <v>0.04</v>
      </c>
      <c r="E719" s="129">
        <f>+Supuestos!$F$14</f>
        <v>0.04</v>
      </c>
      <c r="F719" s="129">
        <f>+Supuestos!$G$14</f>
        <v>0.04</v>
      </c>
      <c r="G719" s="129">
        <f>+Supuestos!$H$14</f>
        <v>0.04</v>
      </c>
      <c r="H719" s="129">
        <f>+Supuestos!$I$14</f>
        <v>0.04</v>
      </c>
    </row>
    <row r="720" spans="2:8" outlineLevel="2" x14ac:dyDescent="0.2">
      <c r="B720" s="724" t="s">
        <v>303</v>
      </c>
      <c r="C720" s="79"/>
      <c r="D720" s="275">
        <v>0</v>
      </c>
      <c r="E720" s="275">
        <v>0</v>
      </c>
      <c r="F720" s="275">
        <v>0</v>
      </c>
      <c r="G720" s="275">
        <v>0</v>
      </c>
      <c r="H720" s="275">
        <v>0</v>
      </c>
    </row>
    <row r="721" spans="2:8" outlineLevel="2" x14ac:dyDescent="0.2">
      <c r="B721" s="722" t="s">
        <v>249</v>
      </c>
      <c r="C721" s="79">
        <f>+O344</f>
        <v>1846.8</v>
      </c>
      <c r="D721" s="79">
        <f>+C721*(1+D723)*(1+C722)</f>
        <v>1907.7443999999998</v>
      </c>
      <c r="E721" s="79">
        <f>+D721*(1+E723)*(1+D722)</f>
        <v>1976.4231983999998</v>
      </c>
      <c r="F721" s="79">
        <f>+E721*(1+F723)*(1+E722)</f>
        <v>2059.4329727328</v>
      </c>
      <c r="G721" s="79">
        <f>+F721*(1+G723)*(1+F722)</f>
        <v>2158.2857554239745</v>
      </c>
      <c r="H721" s="79">
        <f>+G721*(1+H723)*(1+G722)</f>
        <v>2274.8331862168693</v>
      </c>
    </row>
    <row r="722" spans="2:8" outlineLevel="2" x14ac:dyDescent="0.2">
      <c r="B722" s="724" t="s">
        <v>304</v>
      </c>
      <c r="C722" s="129">
        <f>+Supuestos!$D$13</f>
        <v>3.3000000000000002E-2</v>
      </c>
      <c r="D722" s="129">
        <f>+Supuestos!$E$13</f>
        <v>3.5999999999999997E-2</v>
      </c>
      <c r="E722" s="129">
        <f>+Supuestos!$F$13</f>
        <v>4.2000000000000003E-2</v>
      </c>
      <c r="F722" s="129">
        <f>+Supuestos!$G$13</f>
        <v>4.8000000000000001E-2</v>
      </c>
      <c r="G722" s="129">
        <f>+Supuestos!$H$13</f>
        <v>5.3999999999999999E-2</v>
      </c>
      <c r="H722" s="129">
        <f>+Supuestos!$I$13</f>
        <v>0.06</v>
      </c>
    </row>
    <row r="723" spans="2:8" outlineLevel="2" x14ac:dyDescent="0.2">
      <c r="B723" s="724" t="s">
        <v>282</v>
      </c>
      <c r="C723" s="79"/>
      <c r="D723" s="275">
        <v>0</v>
      </c>
      <c r="E723" s="275">
        <v>0</v>
      </c>
      <c r="F723" s="275">
        <v>0</v>
      </c>
      <c r="G723" s="275">
        <v>0</v>
      </c>
      <c r="H723" s="275">
        <v>0</v>
      </c>
    </row>
    <row r="724" spans="2:8" ht="15" outlineLevel="2" x14ac:dyDescent="0.25">
      <c r="B724" s="725" t="s">
        <v>1</v>
      </c>
      <c r="C724" s="136">
        <f>+C721*C718</f>
        <v>2477666.8799999994</v>
      </c>
      <c r="D724" s="136">
        <f t="shared" ref="D724:H724" si="548">+D721*D718</f>
        <v>2661303.4379999996</v>
      </c>
      <c r="E724" s="136">
        <f t="shared" si="548"/>
        <v>2865813.6376799997</v>
      </c>
      <c r="F724" s="136">
        <f t="shared" si="548"/>
        <v>3105624.9228810621</v>
      </c>
      <c r="G724" s="136">
        <f t="shared" si="548"/>
        <v>3384192.064504792</v>
      </c>
      <c r="H724" s="136">
        <f t="shared" si="548"/>
        <v>3707978.0935334968</v>
      </c>
    </row>
    <row r="725" spans="2:8" ht="15" outlineLevel="1" x14ac:dyDescent="0.25">
      <c r="B725" s="723" t="str">
        <f>+B348</f>
        <v>Piña Oro Miel</v>
      </c>
      <c r="C725" s="128"/>
      <c r="D725" s="84"/>
      <c r="E725" s="84"/>
      <c r="F725" s="84"/>
      <c r="G725" s="84"/>
      <c r="H725" s="84"/>
    </row>
    <row r="726" spans="2:8" outlineLevel="2" x14ac:dyDescent="0.2">
      <c r="B726" s="724" t="s">
        <v>283</v>
      </c>
      <c r="C726" s="79">
        <f>+O349</f>
        <v>3949.1999999999994</v>
      </c>
      <c r="D726" s="79">
        <f>ROUNDDOWN(C726*(1+D728)*(1+D727),0)</f>
        <v>4107</v>
      </c>
      <c r="E726" s="79">
        <f>ROUNDDOWN(D726*(1+E728)*(1+E727),0)</f>
        <v>4271</v>
      </c>
      <c r="F726" s="79">
        <f>ROUNDDOWN(E726*(1+F728)*(1+F727),0)</f>
        <v>4441</v>
      </c>
      <c r="G726" s="79">
        <f>ROUNDDOWN(F726*(1+G728)*(1+G727),0)</f>
        <v>4618</v>
      </c>
      <c r="H726" s="79">
        <f>ROUNDDOWN(G726*(1+H728)*(1+H727),0)</f>
        <v>4802</v>
      </c>
    </row>
    <row r="727" spans="2:8" outlineLevel="2" x14ac:dyDescent="0.2">
      <c r="B727" s="724" t="s">
        <v>302</v>
      </c>
      <c r="C727" s="129">
        <f>+Supuestos!$D$14</f>
        <v>4.1000000000000002E-2</v>
      </c>
      <c r="D727" s="129">
        <f>+Supuestos!$E$14</f>
        <v>0.04</v>
      </c>
      <c r="E727" s="129">
        <f>+Supuestos!$F$14</f>
        <v>0.04</v>
      </c>
      <c r="F727" s="129">
        <f>+Supuestos!$G$14</f>
        <v>0.04</v>
      </c>
      <c r="G727" s="129">
        <f>+Supuestos!$H$14</f>
        <v>0.04</v>
      </c>
      <c r="H727" s="129">
        <f>+Supuestos!$I$14</f>
        <v>0.04</v>
      </c>
    </row>
    <row r="728" spans="2:8" outlineLevel="2" x14ac:dyDescent="0.2">
      <c r="B728" s="724" t="s">
        <v>303</v>
      </c>
      <c r="C728" s="79"/>
      <c r="D728" s="275">
        <v>0</v>
      </c>
      <c r="E728" s="275">
        <v>0</v>
      </c>
      <c r="F728" s="275">
        <v>0</v>
      </c>
      <c r="G728" s="275">
        <v>0</v>
      </c>
      <c r="H728" s="275">
        <v>0</v>
      </c>
    </row>
    <row r="729" spans="2:8" outlineLevel="2" x14ac:dyDescent="0.2">
      <c r="B729" s="722" t="s">
        <v>249</v>
      </c>
      <c r="C729" s="79">
        <f>+O352</f>
        <v>1641.6</v>
      </c>
      <c r="D729" s="79">
        <f>+C729*(1+D731)*(1+C730)</f>
        <v>1695.7727999999997</v>
      </c>
      <c r="E729" s="79">
        <f>+D729*(1+E731)*(1+D730)</f>
        <v>1756.8206207999997</v>
      </c>
      <c r="F729" s="79">
        <f>+E729*(1+F731)*(1+E730)</f>
        <v>1830.6070868735997</v>
      </c>
      <c r="G729" s="79">
        <f>+F729*(1+G731)*(1+F730)</f>
        <v>1918.4762270435326</v>
      </c>
      <c r="H729" s="79">
        <f>+G729*(1+H731)*(1+G730)</f>
        <v>2022.0739433038834</v>
      </c>
    </row>
    <row r="730" spans="2:8" outlineLevel="2" x14ac:dyDescent="0.2">
      <c r="B730" s="724" t="s">
        <v>304</v>
      </c>
      <c r="C730" s="129">
        <f>+Supuestos!$D$13</f>
        <v>3.3000000000000002E-2</v>
      </c>
      <c r="D730" s="129">
        <f>+Supuestos!$E$13</f>
        <v>3.5999999999999997E-2</v>
      </c>
      <c r="E730" s="129">
        <f>+Supuestos!$F$13</f>
        <v>4.2000000000000003E-2</v>
      </c>
      <c r="F730" s="129">
        <f>+Supuestos!$G$13</f>
        <v>4.8000000000000001E-2</v>
      </c>
      <c r="G730" s="129">
        <f>+Supuestos!$H$13</f>
        <v>5.3999999999999999E-2</v>
      </c>
      <c r="H730" s="129">
        <f>+Supuestos!$I$13</f>
        <v>0.06</v>
      </c>
    </row>
    <row r="731" spans="2:8" outlineLevel="2" x14ac:dyDescent="0.2">
      <c r="B731" s="724" t="s">
        <v>282</v>
      </c>
      <c r="C731" s="79"/>
      <c r="D731" s="275">
        <v>0</v>
      </c>
      <c r="E731" s="275">
        <v>0</v>
      </c>
      <c r="F731" s="275">
        <v>0</v>
      </c>
      <c r="G731" s="275">
        <v>0</v>
      </c>
      <c r="H731" s="275">
        <v>0</v>
      </c>
    </row>
    <row r="732" spans="2:8" ht="15" outlineLevel="2" x14ac:dyDescent="0.25">
      <c r="B732" s="725" t="s">
        <v>1</v>
      </c>
      <c r="C732" s="136">
        <f>+C729*C726</f>
        <v>6483006.7199999988</v>
      </c>
      <c r="D732" s="136">
        <f t="shared" ref="D732:H732" si="549">+D729*D726</f>
        <v>6964538.8895999985</v>
      </c>
      <c r="E732" s="136">
        <f t="shared" si="549"/>
        <v>7503380.8714367989</v>
      </c>
      <c r="F732" s="136">
        <f t="shared" si="549"/>
        <v>8129726.0728056561</v>
      </c>
      <c r="G732" s="136">
        <f t="shared" si="549"/>
        <v>8859523.2164870333</v>
      </c>
      <c r="H732" s="136">
        <f t="shared" si="549"/>
        <v>9709999.0757452473</v>
      </c>
    </row>
    <row r="733" spans="2:8" ht="15" outlineLevel="1" x14ac:dyDescent="0.25">
      <c r="B733" s="723" t="str">
        <f>+B356</f>
        <v>Pitahaya</v>
      </c>
      <c r="C733" s="128"/>
      <c r="D733" s="84"/>
      <c r="E733" s="84"/>
      <c r="F733" s="84"/>
      <c r="G733" s="84"/>
      <c r="H733" s="84"/>
    </row>
    <row r="734" spans="2:8" outlineLevel="2" x14ac:dyDescent="0.2">
      <c r="B734" s="724" t="s">
        <v>283</v>
      </c>
      <c r="C734" s="79">
        <f>+O357</f>
        <v>365.88000000000005</v>
      </c>
      <c r="D734" s="79">
        <f>ROUNDDOWN(C734*(1+D736)*(1+D735),0)</f>
        <v>380</v>
      </c>
      <c r="E734" s="79">
        <f>ROUNDDOWN(D734*(1+E736)*(1+E735),0)</f>
        <v>395</v>
      </c>
      <c r="F734" s="79">
        <f>ROUNDDOWN(E734*(1+F736)*(1+F735),0)</f>
        <v>410</v>
      </c>
      <c r="G734" s="79">
        <f>ROUNDDOWN(F734*(1+G736)*(1+G735),0)</f>
        <v>426</v>
      </c>
      <c r="H734" s="79">
        <f>ROUNDDOWN(G734*(1+H736)*(1+H735),0)</f>
        <v>443</v>
      </c>
    </row>
    <row r="735" spans="2:8" outlineLevel="2" x14ac:dyDescent="0.2">
      <c r="B735" s="724" t="s">
        <v>302</v>
      </c>
      <c r="C735" s="129">
        <f>+Supuestos!$D$14</f>
        <v>4.1000000000000002E-2</v>
      </c>
      <c r="D735" s="129">
        <f>+Supuestos!$E$14</f>
        <v>0.04</v>
      </c>
      <c r="E735" s="129">
        <f>+Supuestos!$F$14</f>
        <v>0.04</v>
      </c>
      <c r="F735" s="129">
        <f>+Supuestos!$G$14</f>
        <v>0.04</v>
      </c>
      <c r="G735" s="129">
        <f>+Supuestos!$H$14</f>
        <v>0.04</v>
      </c>
      <c r="H735" s="129">
        <f>+Supuestos!$I$14</f>
        <v>0.04</v>
      </c>
    </row>
    <row r="736" spans="2:8" outlineLevel="2" x14ac:dyDescent="0.2">
      <c r="B736" s="724" t="s">
        <v>303</v>
      </c>
      <c r="C736" s="79"/>
      <c r="D736" s="275">
        <v>0</v>
      </c>
      <c r="E736" s="275">
        <v>0</v>
      </c>
      <c r="F736" s="275">
        <v>0</v>
      </c>
      <c r="G736" s="275">
        <v>0</v>
      </c>
      <c r="H736" s="275">
        <v>0</v>
      </c>
    </row>
    <row r="737" spans="2:8" outlineLevel="2" x14ac:dyDescent="0.2">
      <c r="B737" s="722" t="s">
        <v>249</v>
      </c>
      <c r="C737" s="79">
        <f>+O360</f>
        <v>7182</v>
      </c>
      <c r="D737" s="79">
        <f>+C737*(1+D739)*(1+C738)</f>
        <v>7419.0059999999994</v>
      </c>
      <c r="E737" s="79">
        <f>+D737*(1+E739)*(1+D738)</f>
        <v>7686.0902159999996</v>
      </c>
      <c r="F737" s="79">
        <f>+E737*(1+F739)*(1+E738)</f>
        <v>8008.906005072</v>
      </c>
      <c r="G737" s="79">
        <f>+F737*(1+G739)*(1+F738)</f>
        <v>8393.3334933154565</v>
      </c>
      <c r="H737" s="79">
        <f>+G737*(1+H739)*(1+G738)</f>
        <v>8846.5735019544918</v>
      </c>
    </row>
    <row r="738" spans="2:8" outlineLevel="2" x14ac:dyDescent="0.2">
      <c r="B738" s="724" t="s">
        <v>304</v>
      </c>
      <c r="C738" s="129">
        <f>+Supuestos!$D$13</f>
        <v>3.3000000000000002E-2</v>
      </c>
      <c r="D738" s="129">
        <f>+Supuestos!$E$13</f>
        <v>3.5999999999999997E-2</v>
      </c>
      <c r="E738" s="129">
        <f>+Supuestos!$F$13</f>
        <v>4.2000000000000003E-2</v>
      </c>
      <c r="F738" s="129">
        <f>+Supuestos!$G$13</f>
        <v>4.8000000000000001E-2</v>
      </c>
      <c r="G738" s="129">
        <f>+Supuestos!$H$13</f>
        <v>5.3999999999999999E-2</v>
      </c>
      <c r="H738" s="129">
        <f>+Supuestos!$I$13</f>
        <v>0.06</v>
      </c>
    </row>
    <row r="739" spans="2:8" outlineLevel="2" x14ac:dyDescent="0.2">
      <c r="B739" s="724" t="s">
        <v>282</v>
      </c>
      <c r="C739" s="79"/>
      <c r="D739" s="275">
        <v>0</v>
      </c>
      <c r="E739" s="275">
        <v>0</v>
      </c>
      <c r="F739" s="275">
        <v>0</v>
      </c>
      <c r="G739" s="275">
        <v>0</v>
      </c>
      <c r="H739" s="275">
        <v>0</v>
      </c>
    </row>
    <row r="740" spans="2:8" ht="15" outlineLevel="2" x14ac:dyDescent="0.25">
      <c r="B740" s="725" t="s">
        <v>1</v>
      </c>
      <c r="C740" s="136">
        <f>+C737*C734</f>
        <v>2627750.16</v>
      </c>
      <c r="D740" s="136">
        <f t="shared" ref="D740:H740" si="550">+D737*D734</f>
        <v>2819222.28</v>
      </c>
      <c r="E740" s="136">
        <f t="shared" si="550"/>
        <v>3036005.6353199999</v>
      </c>
      <c r="F740" s="136">
        <f t="shared" si="550"/>
        <v>3283651.4620795199</v>
      </c>
      <c r="G740" s="136">
        <f t="shared" si="550"/>
        <v>3575560.0681523844</v>
      </c>
      <c r="H740" s="136">
        <f t="shared" si="550"/>
        <v>3919032.06136584</v>
      </c>
    </row>
    <row r="741" spans="2:8" ht="15" outlineLevel="1" x14ac:dyDescent="0.25">
      <c r="B741" s="723" t="str">
        <f>+B364</f>
        <v>Tomate de árbol</v>
      </c>
      <c r="C741" s="128"/>
      <c r="D741" s="84"/>
      <c r="E741" s="84"/>
      <c r="F741" s="84"/>
      <c r="G741" s="84"/>
      <c r="H741" s="84"/>
    </row>
    <row r="742" spans="2:8" outlineLevel="2" x14ac:dyDescent="0.2">
      <c r="B742" s="724" t="s">
        <v>283</v>
      </c>
      <c r="C742" s="79">
        <f>+O365</f>
        <v>14960.400000000003</v>
      </c>
      <c r="D742" s="79">
        <f>ROUNDDOWN(C742*(1+D744)*(1+D743),0)</f>
        <v>15558</v>
      </c>
      <c r="E742" s="79">
        <f>ROUNDDOWN(D742*(1+E744)*(1+E743),0)</f>
        <v>16180</v>
      </c>
      <c r="F742" s="79">
        <f>ROUNDDOWN(E742*(1+F744)*(1+F743),0)</f>
        <v>16827</v>
      </c>
      <c r="G742" s="79">
        <f>ROUNDDOWN(F742*(1+G744)*(1+G743),0)</f>
        <v>17500</v>
      </c>
      <c r="H742" s="79">
        <f>ROUNDDOWN(G742*(1+H744)*(1+H743),0)</f>
        <v>18200</v>
      </c>
    </row>
    <row r="743" spans="2:8" outlineLevel="2" x14ac:dyDescent="0.2">
      <c r="B743" s="724" t="s">
        <v>302</v>
      </c>
      <c r="C743" s="129">
        <f>+Supuestos!$D$14</f>
        <v>4.1000000000000002E-2</v>
      </c>
      <c r="D743" s="129">
        <f>+Supuestos!$E$14</f>
        <v>0.04</v>
      </c>
      <c r="E743" s="129">
        <f>+Supuestos!$F$14</f>
        <v>0.04</v>
      </c>
      <c r="F743" s="129">
        <f>+Supuestos!$G$14</f>
        <v>0.04</v>
      </c>
      <c r="G743" s="129">
        <f>+Supuestos!$H$14</f>
        <v>0.04</v>
      </c>
      <c r="H743" s="129">
        <f>+Supuestos!$I$14</f>
        <v>0.04</v>
      </c>
    </row>
    <row r="744" spans="2:8" outlineLevel="2" x14ac:dyDescent="0.2">
      <c r="B744" s="724" t="s">
        <v>303</v>
      </c>
      <c r="C744" s="79"/>
      <c r="D744" s="275">
        <v>0</v>
      </c>
      <c r="E744" s="275">
        <v>0</v>
      </c>
      <c r="F744" s="275">
        <v>0</v>
      </c>
      <c r="G744" s="275">
        <v>0</v>
      </c>
      <c r="H744" s="275">
        <v>0</v>
      </c>
    </row>
    <row r="745" spans="2:8" outlineLevel="2" x14ac:dyDescent="0.2">
      <c r="B745" s="722" t="s">
        <v>249</v>
      </c>
      <c r="C745" s="79">
        <f>+O368</f>
        <v>2052</v>
      </c>
      <c r="D745" s="79">
        <f>+C745*(1+D747)*(1+C746)</f>
        <v>2119.7159999999999</v>
      </c>
      <c r="E745" s="79">
        <f>+D745*(1+E747)*(1+D746)</f>
        <v>2196.025776</v>
      </c>
      <c r="F745" s="79">
        <f>+E745*(1+F747)*(1+E746)</f>
        <v>2288.2588585920003</v>
      </c>
      <c r="G745" s="79">
        <f>+F745*(1+G747)*(1+F746)</f>
        <v>2398.0952838044163</v>
      </c>
      <c r="H745" s="79">
        <f>+G745*(1+H747)*(1+G746)</f>
        <v>2527.5924291298547</v>
      </c>
    </row>
    <row r="746" spans="2:8" outlineLevel="2" x14ac:dyDescent="0.2">
      <c r="B746" s="724" t="s">
        <v>304</v>
      </c>
      <c r="C746" s="129">
        <f>+Supuestos!$D$13</f>
        <v>3.3000000000000002E-2</v>
      </c>
      <c r="D746" s="129">
        <f>+Supuestos!$E$13</f>
        <v>3.5999999999999997E-2</v>
      </c>
      <c r="E746" s="129">
        <f>+Supuestos!$F$13</f>
        <v>4.2000000000000003E-2</v>
      </c>
      <c r="F746" s="129">
        <f>+Supuestos!$G$13</f>
        <v>4.8000000000000001E-2</v>
      </c>
      <c r="G746" s="129">
        <f>+Supuestos!$H$13</f>
        <v>5.3999999999999999E-2</v>
      </c>
      <c r="H746" s="129">
        <f>+Supuestos!$I$13</f>
        <v>0.06</v>
      </c>
    </row>
    <row r="747" spans="2:8" outlineLevel="2" x14ac:dyDescent="0.2">
      <c r="B747" s="724" t="s">
        <v>282</v>
      </c>
      <c r="C747" s="79"/>
      <c r="D747" s="275">
        <v>0</v>
      </c>
      <c r="E747" s="275">
        <v>0</v>
      </c>
      <c r="F747" s="275">
        <v>0</v>
      </c>
      <c r="G747" s="275">
        <v>0</v>
      </c>
      <c r="H747" s="275">
        <v>0</v>
      </c>
    </row>
    <row r="748" spans="2:8" ht="15" outlineLevel="2" x14ac:dyDescent="0.25">
      <c r="B748" s="725" t="s">
        <v>1</v>
      </c>
      <c r="C748" s="136">
        <f>+C745*C742</f>
        <v>30698740.800000008</v>
      </c>
      <c r="D748" s="136">
        <f t="shared" ref="D748:H748" si="551">+D745*D742</f>
        <v>32978541.527999997</v>
      </c>
      <c r="E748" s="136">
        <f t="shared" si="551"/>
        <v>35531697.055679999</v>
      </c>
      <c r="F748" s="136">
        <f t="shared" si="551"/>
        <v>38504531.813527592</v>
      </c>
      <c r="G748" s="136">
        <f t="shared" si="551"/>
        <v>41966667.466577284</v>
      </c>
      <c r="H748" s="136">
        <f t="shared" si="551"/>
        <v>46002182.210163355</v>
      </c>
    </row>
    <row r="749" spans="2:8" ht="15" outlineLevel="1" x14ac:dyDescent="0.25">
      <c r="B749" s="723" t="str">
        <f>+B372</f>
        <v>Uchuva/Capacho</v>
      </c>
      <c r="C749" s="128"/>
      <c r="D749" s="84"/>
      <c r="E749" s="84"/>
      <c r="F749" s="84"/>
      <c r="G749" s="84"/>
      <c r="H749" s="84"/>
    </row>
    <row r="750" spans="2:8" outlineLevel="2" x14ac:dyDescent="0.2">
      <c r="B750" s="724" t="s">
        <v>283</v>
      </c>
      <c r="C750" s="79">
        <f>+O373</f>
        <v>975.7199999999998</v>
      </c>
      <c r="D750" s="79">
        <f>ROUNDDOWN(C750*(1+D752)*(1+D751),0)</f>
        <v>1014</v>
      </c>
      <c r="E750" s="79">
        <f>ROUNDDOWN(D750*(1+E752)*(1+E751),0)</f>
        <v>1054</v>
      </c>
      <c r="F750" s="79">
        <f>ROUNDDOWN(E750*(1+F752)*(1+F751),0)</f>
        <v>1096</v>
      </c>
      <c r="G750" s="79">
        <f>ROUNDDOWN(F750*(1+G752)*(1+G751),0)</f>
        <v>1139</v>
      </c>
      <c r="H750" s="79">
        <f>ROUNDDOWN(G750*(1+H752)*(1+H751),0)</f>
        <v>1184</v>
      </c>
    </row>
    <row r="751" spans="2:8" outlineLevel="2" x14ac:dyDescent="0.2">
      <c r="B751" s="724" t="s">
        <v>302</v>
      </c>
      <c r="C751" s="129">
        <f>+Supuestos!$D$14</f>
        <v>4.1000000000000002E-2</v>
      </c>
      <c r="D751" s="129">
        <f>+Supuestos!$E$14</f>
        <v>0.04</v>
      </c>
      <c r="E751" s="129">
        <f>+Supuestos!$F$14</f>
        <v>0.04</v>
      </c>
      <c r="F751" s="129">
        <f>+Supuestos!$G$14</f>
        <v>0.04</v>
      </c>
      <c r="G751" s="129">
        <f>+Supuestos!$H$14</f>
        <v>0.04</v>
      </c>
      <c r="H751" s="129">
        <f>+Supuestos!$I$14</f>
        <v>0.04</v>
      </c>
    </row>
    <row r="752" spans="2:8" outlineLevel="2" x14ac:dyDescent="0.2">
      <c r="B752" s="724" t="s">
        <v>303</v>
      </c>
      <c r="C752" s="79"/>
      <c r="D752" s="275">
        <v>0</v>
      </c>
      <c r="E752" s="275">
        <v>0</v>
      </c>
      <c r="F752" s="275">
        <v>0</v>
      </c>
      <c r="G752" s="275">
        <v>0</v>
      </c>
      <c r="H752" s="275">
        <v>0</v>
      </c>
    </row>
    <row r="753" spans="2:12" outlineLevel="2" x14ac:dyDescent="0.2">
      <c r="B753" s="722" t="s">
        <v>249</v>
      </c>
      <c r="C753" s="79">
        <f>+O376</f>
        <v>3283.2</v>
      </c>
      <c r="D753" s="79">
        <f>+C753*(1+D755)*(1+C754)</f>
        <v>3391.5455999999995</v>
      </c>
      <c r="E753" s="79">
        <f>+D753*(1+E755)*(1+D754)</f>
        <v>3513.6412415999994</v>
      </c>
      <c r="F753" s="79">
        <f>+E753*(1+F755)*(1+E754)</f>
        <v>3661.2141737471993</v>
      </c>
      <c r="G753" s="79">
        <f>+F753*(1+G755)*(1+F754)</f>
        <v>3836.9524540870652</v>
      </c>
      <c r="H753" s="79">
        <f>+G753*(1+H755)*(1+G754)</f>
        <v>4044.1478866077668</v>
      </c>
    </row>
    <row r="754" spans="2:12" outlineLevel="2" x14ac:dyDescent="0.2">
      <c r="B754" s="724" t="s">
        <v>304</v>
      </c>
      <c r="C754" s="129">
        <f>+Supuestos!$D$13</f>
        <v>3.3000000000000002E-2</v>
      </c>
      <c r="D754" s="129">
        <f>+Supuestos!$E$13</f>
        <v>3.5999999999999997E-2</v>
      </c>
      <c r="E754" s="129">
        <f>+Supuestos!$F$13</f>
        <v>4.2000000000000003E-2</v>
      </c>
      <c r="F754" s="129">
        <f>+Supuestos!$G$13</f>
        <v>4.8000000000000001E-2</v>
      </c>
      <c r="G754" s="129">
        <f>+Supuestos!$H$13</f>
        <v>5.3999999999999999E-2</v>
      </c>
      <c r="H754" s="129">
        <f>+Supuestos!$I$13</f>
        <v>0.06</v>
      </c>
    </row>
    <row r="755" spans="2:12" outlineLevel="2" x14ac:dyDescent="0.2">
      <c r="B755" s="724" t="s">
        <v>282</v>
      </c>
      <c r="C755" s="79"/>
      <c r="D755" s="275">
        <v>0</v>
      </c>
      <c r="E755" s="275">
        <v>0</v>
      </c>
      <c r="F755" s="275">
        <v>0</v>
      </c>
      <c r="G755" s="275">
        <v>0</v>
      </c>
      <c r="H755" s="275">
        <v>0</v>
      </c>
    </row>
    <row r="756" spans="2:12" ht="15" outlineLevel="2" x14ac:dyDescent="0.25">
      <c r="B756" s="135" t="s">
        <v>1</v>
      </c>
      <c r="C756" s="136">
        <f t="shared" ref="C756:H756" si="552">+C753*C750</f>
        <v>3203483.9039999992</v>
      </c>
      <c r="D756" s="136">
        <f t="shared" si="552"/>
        <v>3439027.2383999997</v>
      </c>
      <c r="E756" s="136">
        <f t="shared" si="552"/>
        <v>3703377.8686463991</v>
      </c>
      <c r="F756" s="136">
        <f t="shared" si="552"/>
        <v>4012690.7344269305</v>
      </c>
      <c r="G756" s="136">
        <f t="shared" si="552"/>
        <v>4370288.8452051673</v>
      </c>
      <c r="H756" s="136">
        <f t="shared" si="552"/>
        <v>4788271.097743596</v>
      </c>
    </row>
    <row r="757" spans="2:12" outlineLevel="1" x14ac:dyDescent="0.2">
      <c r="B757" s="26"/>
      <c r="C757" s="81"/>
      <c r="D757" s="81"/>
      <c r="E757" s="81"/>
      <c r="F757" s="81"/>
      <c r="G757" s="81"/>
      <c r="H757" s="81"/>
    </row>
    <row r="758" spans="2:12" outlineLevel="1" x14ac:dyDescent="0.2">
      <c r="B758" s="123" t="s">
        <v>101</v>
      </c>
      <c r="C758" s="159">
        <f>+C396+C404+C412+C420+C428+C436+C444+C452+C460+C468+C476+C484+C492+C500+C508+C516+C524+C532+C540+C548+C556+C564+C572+C580+C588+C596+C604+C612+C620+C628+C636+C644+C652+C660+C668+C676+C684+C692+C700+C708+C716+C724+C732+C740+C748+C756</f>
        <v>1501721539.4880002</v>
      </c>
      <c r="D758" s="159">
        <f t="shared" ref="D758:H758" si="553">+D396+D404+D412+D420+D428+D436+D444+D452+D460+D468+D476+D484+D492+D500+D508+D516+D524+D532+D540+D548+D556+D564+D572+D580+D588+D596+D604+D612+D620+D628+D636+D644+D652+D660+D668+D676+D684+D692+D700+D708+D716+D724+D732+D740+D748+D756</f>
        <v>1613252725.94906</v>
      </c>
      <c r="E758" s="159">
        <f t="shared" si="553"/>
        <v>1738102599.639127</v>
      </c>
      <c r="F758" s="159">
        <f t="shared" si="553"/>
        <v>1883474925.2466183</v>
      </c>
      <c r="G758" s="159">
        <f t="shared" si="553"/>
        <v>2052752672.0482793</v>
      </c>
      <c r="H758" s="159">
        <f t="shared" si="553"/>
        <v>2250052766.5631919</v>
      </c>
    </row>
    <row r="759" spans="2:12" x14ac:dyDescent="0.2">
      <c r="C759" s="50"/>
      <c r="D759" s="50"/>
      <c r="E759" s="50"/>
      <c r="F759" s="50"/>
      <c r="G759" s="50"/>
      <c r="H759" s="50"/>
    </row>
    <row r="760" spans="2:12" x14ac:dyDescent="0.2">
      <c r="B760" s="123" t="s">
        <v>102</v>
      </c>
      <c r="C760" s="123"/>
      <c r="D760" s="160">
        <f>IF(ISERROR((D758-C758)/C758),0,(D758-C758)/C758)</f>
        <v>7.4268886426897399E-2</v>
      </c>
      <c r="E760" s="160">
        <f>IF(ISERROR((E758-D758)/D758),0,(E758-D758)/D758)</f>
        <v>7.7390152008960128E-2</v>
      </c>
      <c r="F760" s="160">
        <f>IF(ISERROR((F758-E758)/E758),0,(F758-E758)/E758)</f>
        <v>8.3638518024007402E-2</v>
      </c>
      <c r="G760" s="160">
        <f>IF(ISERROR((G758-F758)/F758),0,(G758-F758)/F758)</f>
        <v>8.9875232493204629E-2</v>
      </c>
      <c r="H760" s="160">
        <f>IF(ISERROR((H758-G758)/G758),0,(H758-G758)/G758)</f>
        <v>9.611488865730837E-2</v>
      </c>
    </row>
    <row r="761" spans="2:12" x14ac:dyDescent="0.2">
      <c r="F761" s="85"/>
    </row>
    <row r="766" spans="2:12" s="68" customFormat="1" x14ac:dyDescent="0.2">
      <c r="B766" s="47"/>
      <c r="C766" s="47"/>
      <c r="D766" s="67"/>
      <c r="E766" s="67"/>
      <c r="F766" s="67"/>
      <c r="G766" s="67"/>
      <c r="H766" s="47"/>
      <c r="I766" s="47"/>
      <c r="J766" s="47"/>
      <c r="K766" s="47"/>
      <c r="L766" s="47"/>
    </row>
    <row r="767" spans="2:12" s="68" customFormat="1" x14ac:dyDescent="0.2">
      <c r="B767" s="23"/>
      <c r="C767" s="50"/>
      <c r="D767" s="50"/>
      <c r="E767" s="67"/>
      <c r="F767" s="67"/>
      <c r="G767" s="67"/>
      <c r="H767" s="47"/>
      <c r="I767" s="47"/>
      <c r="J767" s="47"/>
      <c r="K767" s="47"/>
      <c r="L767" s="47"/>
    </row>
    <row r="768" spans="2:12" s="68" customFormat="1" x14ac:dyDescent="0.2">
      <c r="B768" s="23"/>
      <c r="C768" s="50"/>
      <c r="D768" s="50"/>
      <c r="E768" s="67"/>
      <c r="F768" s="67"/>
      <c r="G768" s="67"/>
      <c r="H768" s="47"/>
      <c r="I768" s="47"/>
      <c r="J768" s="47"/>
      <c r="K768" s="47"/>
      <c r="L768" s="47"/>
    </row>
    <row r="769" spans="2:12" s="68" customFormat="1" x14ac:dyDescent="0.2">
      <c r="B769" s="23"/>
      <c r="C769" s="50"/>
      <c r="D769" s="50"/>
      <c r="E769" s="47"/>
      <c r="F769" s="47"/>
      <c r="G769" s="47"/>
      <c r="H769" s="47"/>
      <c r="I769" s="47"/>
      <c r="J769" s="47"/>
      <c r="K769" s="47"/>
      <c r="L769" s="47"/>
    </row>
    <row r="770" spans="2:12" s="68" customFormat="1" x14ac:dyDescent="0.2">
      <c r="B770" s="47"/>
      <c r="C770" s="69"/>
      <c r="D770" s="69"/>
      <c r="E770" s="47"/>
      <c r="F770" s="47"/>
      <c r="G770" s="47"/>
      <c r="H770" s="47"/>
      <c r="I770" s="47"/>
      <c r="J770" s="47"/>
      <c r="K770" s="47"/>
      <c r="L770" s="47"/>
    </row>
    <row r="771" spans="2:12" x14ac:dyDescent="0.2">
      <c r="B771" s="47"/>
      <c r="C771" s="69"/>
      <c r="D771" s="69"/>
      <c r="E771" s="47"/>
      <c r="F771" s="47"/>
      <c r="G771" s="47"/>
      <c r="H771" s="47"/>
      <c r="I771" s="47"/>
      <c r="J771" s="47"/>
      <c r="K771" s="47"/>
      <c r="L771" s="47"/>
    </row>
    <row r="772" spans="2:12" x14ac:dyDescent="0.2">
      <c r="B772" s="47"/>
      <c r="C772" s="69"/>
      <c r="D772" s="69"/>
      <c r="E772" s="47"/>
      <c r="F772" s="47"/>
      <c r="G772" s="47"/>
      <c r="H772" s="47"/>
      <c r="I772" s="47"/>
      <c r="J772" s="47"/>
      <c r="K772" s="47"/>
      <c r="L772" s="47"/>
    </row>
    <row r="773" spans="2:12" x14ac:dyDescent="0.2">
      <c r="B773" s="47"/>
      <c r="C773" s="70"/>
      <c r="D773" s="69"/>
      <c r="E773" s="47"/>
      <c r="F773" s="47"/>
      <c r="G773" s="47"/>
      <c r="H773" s="47"/>
      <c r="I773" s="47"/>
      <c r="J773" s="47"/>
      <c r="K773" s="47"/>
      <c r="L773" s="47"/>
    </row>
    <row r="774" spans="2:12" x14ac:dyDescent="0.2">
      <c r="B774" s="68"/>
      <c r="C774" s="69"/>
      <c r="D774" s="69"/>
      <c r="E774" s="47"/>
      <c r="F774" s="47"/>
      <c r="G774" s="47"/>
      <c r="H774" s="47"/>
      <c r="I774" s="47"/>
      <c r="J774" s="47"/>
      <c r="K774" s="47"/>
      <c r="L774" s="47"/>
    </row>
    <row r="775" spans="2:12" x14ac:dyDescent="0.2">
      <c r="B775" s="47"/>
      <c r="C775" s="69"/>
      <c r="D775" s="69"/>
      <c r="E775" s="47"/>
      <c r="F775" s="47"/>
      <c r="G775" s="47"/>
      <c r="H775" s="47"/>
      <c r="I775" s="47"/>
      <c r="J775" s="47"/>
      <c r="K775" s="47"/>
      <c r="L775" s="47"/>
    </row>
    <row r="776" spans="2:12" x14ac:dyDescent="0.2">
      <c r="B776" s="47"/>
      <c r="C776" s="69"/>
      <c r="D776" s="69"/>
      <c r="E776" s="47"/>
      <c r="F776" s="47"/>
      <c r="G776" s="47"/>
      <c r="H776" s="47"/>
      <c r="I776" s="47"/>
      <c r="J776" s="47"/>
      <c r="K776" s="47"/>
      <c r="L776" s="47"/>
    </row>
    <row r="777" spans="2:12" x14ac:dyDescent="0.2">
      <c r="B777" s="47"/>
      <c r="C777" s="47"/>
      <c r="D777" s="67"/>
      <c r="E777" s="47"/>
      <c r="F777" s="47"/>
      <c r="G777" s="47"/>
      <c r="H777" s="47"/>
      <c r="I777" s="47"/>
      <c r="J777" s="47"/>
      <c r="K777" s="47"/>
      <c r="L777" s="47"/>
    </row>
    <row r="778" spans="2:12" x14ac:dyDescent="0.2">
      <c r="B778" s="47"/>
      <c r="C778" s="67"/>
      <c r="D778" s="67"/>
      <c r="E778" s="47"/>
      <c r="F778" s="47"/>
      <c r="G778" s="47"/>
      <c r="H778" s="47"/>
      <c r="I778" s="47"/>
      <c r="J778" s="47"/>
      <c r="K778" s="47"/>
      <c r="L778" s="47"/>
    </row>
    <row r="779" spans="2:12" x14ac:dyDescent="0.2">
      <c r="B779" s="47"/>
      <c r="C779" s="71"/>
      <c r="D779" s="71"/>
      <c r="E779" s="47"/>
      <c r="F779" s="47"/>
      <c r="G779" s="47"/>
      <c r="H779" s="47"/>
      <c r="I779" s="47"/>
      <c r="J779" s="47"/>
      <c r="K779" s="47"/>
      <c r="L779" s="47"/>
    </row>
    <row r="780" spans="2:12" x14ac:dyDescent="0.2">
      <c r="B780" s="47"/>
      <c r="C780" s="71"/>
      <c r="D780" s="71"/>
      <c r="E780" s="47"/>
      <c r="F780" s="47"/>
      <c r="G780" s="47"/>
      <c r="H780" s="47"/>
      <c r="I780" s="47"/>
      <c r="J780" s="47"/>
      <c r="K780" s="47"/>
      <c r="L780" s="47"/>
    </row>
    <row r="781" spans="2:12" x14ac:dyDescent="0.2">
      <c r="B781" s="47"/>
      <c r="C781" s="69"/>
      <c r="D781" s="69"/>
      <c r="E781" s="47"/>
      <c r="F781" s="47"/>
      <c r="G781" s="47"/>
      <c r="H781" s="47"/>
      <c r="I781" s="47"/>
      <c r="J781" s="47"/>
      <c r="K781" s="47"/>
      <c r="L781" s="47"/>
    </row>
    <row r="782" spans="2:12" x14ac:dyDescent="0.2">
      <c r="B782" s="47"/>
      <c r="C782" s="69"/>
      <c r="D782" s="69"/>
      <c r="E782" s="47"/>
      <c r="F782" s="47"/>
      <c r="G782" s="47"/>
      <c r="H782" s="47"/>
      <c r="I782" s="47"/>
      <c r="J782" s="47"/>
      <c r="K782" s="47"/>
      <c r="L782" s="47"/>
    </row>
    <row r="783" spans="2:12" x14ac:dyDescent="0.2">
      <c r="B783" s="47"/>
      <c r="C783" s="69"/>
      <c r="D783" s="69"/>
      <c r="E783" s="47"/>
      <c r="F783" s="47"/>
      <c r="G783" s="47"/>
      <c r="H783" s="47"/>
      <c r="I783" s="47"/>
      <c r="J783" s="47"/>
      <c r="K783" s="47"/>
      <c r="L783" s="47"/>
    </row>
    <row r="784" spans="2:12" x14ac:dyDescent="0.2">
      <c r="B784" s="47"/>
      <c r="C784" s="72"/>
      <c r="D784" s="47"/>
      <c r="E784" s="47"/>
      <c r="F784" s="47"/>
      <c r="G784" s="47"/>
      <c r="H784" s="47"/>
      <c r="I784" s="47"/>
      <c r="J784" s="47"/>
      <c r="K784" s="47"/>
      <c r="L784" s="47"/>
    </row>
    <row r="785" spans="2:12" x14ac:dyDescent="0.2">
      <c r="B785" s="47"/>
      <c r="C785" s="72"/>
      <c r="D785" s="47"/>
      <c r="E785" s="47"/>
      <c r="F785" s="47"/>
      <c r="G785" s="47"/>
      <c r="H785" s="47"/>
      <c r="I785" s="47"/>
      <c r="J785" s="47"/>
      <c r="K785" s="47"/>
      <c r="L785" s="47"/>
    </row>
    <row r="786" spans="2:12" x14ac:dyDescent="0.2">
      <c r="B786" s="47"/>
      <c r="C786" s="72"/>
      <c r="D786" s="47"/>
      <c r="E786" s="47"/>
      <c r="F786" s="47"/>
      <c r="G786" s="47"/>
      <c r="H786" s="47"/>
      <c r="I786" s="47"/>
      <c r="J786" s="47"/>
      <c r="K786" s="47"/>
      <c r="L786" s="47"/>
    </row>
    <row r="787" spans="2:12" x14ac:dyDescent="0.2">
      <c r="B787" s="47"/>
      <c r="C787" s="73"/>
      <c r="D787" s="47"/>
      <c r="E787" s="47"/>
      <c r="F787" s="47"/>
      <c r="G787" s="47"/>
      <c r="H787" s="47"/>
      <c r="I787" s="47"/>
      <c r="J787" s="47"/>
      <c r="K787" s="47"/>
      <c r="L787" s="47"/>
    </row>
    <row r="788" spans="2:12" x14ac:dyDescent="0.2">
      <c r="B788" s="47"/>
      <c r="C788" s="47"/>
      <c r="D788" s="47"/>
      <c r="E788" s="47"/>
      <c r="F788" s="47"/>
      <c r="G788" s="47"/>
      <c r="H788" s="47"/>
      <c r="I788" s="47"/>
      <c r="J788" s="47"/>
      <c r="K788" s="47"/>
      <c r="L788" s="47"/>
    </row>
    <row r="789" spans="2:12" x14ac:dyDescent="0.2">
      <c r="B789" s="47"/>
      <c r="C789" s="47"/>
      <c r="D789" s="47"/>
      <c r="E789" s="47"/>
      <c r="F789" s="47"/>
      <c r="G789" s="47"/>
      <c r="H789" s="47"/>
      <c r="I789" s="47"/>
      <c r="J789" s="47"/>
      <c r="K789" s="47"/>
      <c r="L789" s="47"/>
    </row>
    <row r="790" spans="2:12" x14ac:dyDescent="0.2">
      <c r="B790" s="47"/>
      <c r="C790" s="47"/>
      <c r="D790" s="47"/>
      <c r="E790" s="47"/>
      <c r="F790" s="47"/>
      <c r="G790" s="47"/>
      <c r="H790" s="47"/>
      <c r="I790" s="47"/>
      <c r="J790" s="47"/>
      <c r="K790" s="47"/>
      <c r="L790" s="47"/>
    </row>
    <row r="791" spans="2:12" x14ac:dyDescent="0.2">
      <c r="B791" s="47"/>
      <c r="C791" s="74"/>
      <c r="D791" s="72"/>
      <c r="E791" s="47"/>
      <c r="F791" s="47"/>
      <c r="G791" s="47"/>
      <c r="H791" s="47"/>
      <c r="I791" s="47"/>
      <c r="J791" s="47"/>
      <c r="K791" s="47"/>
      <c r="L791" s="47"/>
    </row>
    <row r="792" spans="2:12" x14ac:dyDescent="0.2">
      <c r="B792" s="47"/>
      <c r="C792" s="74"/>
      <c r="D792" s="72"/>
      <c r="E792" s="47"/>
      <c r="F792" s="47"/>
      <c r="G792" s="47"/>
      <c r="H792" s="47"/>
      <c r="I792" s="47"/>
      <c r="J792" s="47"/>
      <c r="K792" s="47"/>
      <c r="L792" s="47"/>
    </row>
    <row r="793" spans="2:12" x14ac:dyDescent="0.2">
      <c r="B793" s="47"/>
      <c r="C793" s="74"/>
      <c r="D793" s="72"/>
      <c r="E793" s="47"/>
      <c r="F793" s="47"/>
      <c r="G793" s="47"/>
      <c r="H793" s="47"/>
      <c r="I793" s="47"/>
      <c r="J793" s="47"/>
      <c r="K793" s="47"/>
      <c r="L793" s="47"/>
    </row>
    <row r="794" spans="2:12" x14ac:dyDescent="0.2">
      <c r="B794" s="47"/>
      <c r="C794" s="47"/>
      <c r="D794" s="47"/>
      <c r="E794" s="47"/>
      <c r="F794" s="47"/>
      <c r="G794" s="47"/>
      <c r="H794" s="47"/>
      <c r="I794" s="47"/>
      <c r="J794" s="47"/>
      <c r="K794" s="47"/>
      <c r="L794" s="47"/>
    </row>
    <row r="795" spans="2:12" x14ac:dyDescent="0.2">
      <c r="B795" s="47"/>
      <c r="C795" s="47"/>
      <c r="D795" s="47"/>
      <c r="E795" s="47"/>
      <c r="F795" s="47"/>
      <c r="G795" s="47"/>
      <c r="H795" s="47"/>
      <c r="I795" s="47"/>
      <c r="J795" s="47"/>
      <c r="K795" s="47"/>
      <c r="L795" s="47"/>
    </row>
    <row r="796" spans="2:12" x14ac:dyDescent="0.2">
      <c r="B796" s="47"/>
      <c r="C796" s="73"/>
      <c r="D796" s="47"/>
      <c r="E796" s="47"/>
      <c r="F796" s="47"/>
      <c r="G796" s="47"/>
      <c r="H796" s="47"/>
      <c r="I796" s="47"/>
      <c r="J796" s="47"/>
      <c r="K796" s="47"/>
      <c r="L796" s="47"/>
    </row>
    <row r="797" spans="2:12" x14ac:dyDescent="0.2">
      <c r="B797" s="47"/>
      <c r="C797" s="73"/>
      <c r="D797" s="47"/>
      <c r="E797" s="47"/>
      <c r="F797" s="47"/>
      <c r="G797" s="47"/>
      <c r="H797" s="47"/>
      <c r="I797" s="47"/>
      <c r="J797" s="47"/>
      <c r="K797" s="47"/>
      <c r="L797" s="47"/>
    </row>
    <row r="798" spans="2:12" x14ac:dyDescent="0.2">
      <c r="B798" s="47"/>
      <c r="C798" s="73"/>
      <c r="D798" s="47"/>
      <c r="E798" s="47"/>
      <c r="F798" s="47"/>
      <c r="G798" s="47"/>
      <c r="H798" s="47"/>
      <c r="I798" s="47"/>
      <c r="J798" s="47"/>
      <c r="K798" s="47"/>
      <c r="L798" s="47"/>
    </row>
    <row r="799" spans="2:12" x14ac:dyDescent="0.2">
      <c r="B799" s="47"/>
      <c r="C799" s="47"/>
      <c r="D799" s="47"/>
      <c r="E799" s="47"/>
      <c r="F799" s="47"/>
      <c r="G799" s="47"/>
      <c r="H799" s="47"/>
      <c r="I799" s="47"/>
      <c r="J799" s="47"/>
      <c r="K799" s="47"/>
      <c r="L799" s="47"/>
    </row>
    <row r="800" spans="2:12" x14ac:dyDescent="0.2">
      <c r="B800" s="47"/>
      <c r="C800" s="74"/>
      <c r="D800" s="47"/>
      <c r="E800" s="47"/>
      <c r="F800" s="47"/>
      <c r="G800" s="47"/>
      <c r="H800" s="47"/>
      <c r="I800" s="47"/>
      <c r="J800" s="47"/>
      <c r="K800" s="73"/>
      <c r="L800" s="47"/>
    </row>
    <row r="801" spans="2:12" x14ac:dyDescent="0.2">
      <c r="B801" s="47"/>
      <c r="C801" s="75"/>
      <c r="D801" s="47"/>
      <c r="E801" s="47"/>
      <c r="F801" s="47"/>
      <c r="G801" s="47"/>
      <c r="H801" s="47"/>
      <c r="I801" s="47"/>
      <c r="J801" s="47"/>
      <c r="K801" s="47"/>
      <c r="L801" s="47"/>
    </row>
    <row r="802" spans="2:12" x14ac:dyDescent="0.2">
      <c r="B802" s="47"/>
      <c r="C802" s="47"/>
      <c r="D802" s="47"/>
      <c r="E802" s="47"/>
      <c r="F802" s="47"/>
      <c r="G802" s="47"/>
      <c r="H802" s="47"/>
      <c r="I802" s="47"/>
      <c r="J802" s="47"/>
      <c r="K802" s="47"/>
      <c r="L802" s="47"/>
    </row>
    <row r="803" spans="2:12" x14ac:dyDescent="0.2">
      <c r="B803" s="47"/>
      <c r="C803" s="47"/>
      <c r="D803" s="47"/>
      <c r="E803" s="47"/>
      <c r="F803" s="47"/>
      <c r="G803" s="47"/>
      <c r="H803" s="47"/>
      <c r="I803" s="47"/>
      <c r="J803" s="47"/>
      <c r="K803" s="47"/>
      <c r="L803" s="47"/>
    </row>
    <row r="804" spans="2:12" x14ac:dyDescent="0.2">
      <c r="B804" s="47"/>
      <c r="C804" s="72"/>
      <c r="D804" s="47"/>
      <c r="E804" s="47"/>
      <c r="F804" s="47"/>
      <c r="G804" s="47"/>
      <c r="H804" s="47"/>
      <c r="I804" s="47"/>
      <c r="J804" s="47"/>
      <c r="K804" s="47"/>
      <c r="L804" s="47"/>
    </row>
    <row r="805" spans="2:12" x14ac:dyDescent="0.2">
      <c r="B805" s="47"/>
      <c r="C805" s="47"/>
      <c r="D805" s="47"/>
      <c r="E805" s="47"/>
      <c r="F805" s="47"/>
      <c r="G805" s="47"/>
      <c r="H805" s="47"/>
      <c r="I805" s="47"/>
      <c r="J805" s="47"/>
      <c r="K805" s="47"/>
      <c r="L805" s="47"/>
    </row>
    <row r="806" spans="2:12" x14ac:dyDescent="0.2">
      <c r="B806" s="47"/>
      <c r="C806" s="47"/>
      <c r="D806" s="47"/>
      <c r="E806" s="47"/>
      <c r="F806" s="47"/>
      <c r="G806" s="47"/>
      <c r="H806" s="47"/>
      <c r="I806" s="47"/>
      <c r="J806" s="47"/>
      <c r="K806" s="47"/>
      <c r="L806" s="47"/>
    </row>
    <row r="807" spans="2:12" x14ac:dyDescent="0.2">
      <c r="B807" s="47"/>
      <c r="C807" s="73"/>
      <c r="D807" s="47"/>
      <c r="E807" s="47"/>
      <c r="F807" s="47"/>
      <c r="G807" s="47"/>
      <c r="H807" s="47"/>
      <c r="I807" s="47"/>
      <c r="J807" s="47"/>
      <c r="K807" s="47"/>
      <c r="L807" s="47"/>
    </row>
    <row r="808" spans="2:12" x14ac:dyDescent="0.2">
      <c r="B808" s="47"/>
      <c r="C808" s="76"/>
      <c r="D808" s="47"/>
      <c r="E808" s="47"/>
      <c r="F808" s="47"/>
      <c r="G808" s="47"/>
      <c r="H808" s="47"/>
      <c r="I808" s="47"/>
      <c r="J808" s="47"/>
      <c r="K808" s="47"/>
      <c r="L808" s="47"/>
    </row>
    <row r="809" spans="2:12" x14ac:dyDescent="0.2">
      <c r="B809" s="47"/>
      <c r="C809" s="47"/>
      <c r="D809" s="47"/>
      <c r="E809" s="47"/>
      <c r="F809" s="47"/>
      <c r="G809" s="47"/>
      <c r="H809" s="47"/>
      <c r="I809" s="47"/>
      <c r="J809" s="47"/>
      <c r="K809" s="47"/>
      <c r="L809" s="47"/>
    </row>
    <row r="810" spans="2:12" x14ac:dyDescent="0.2">
      <c r="B810" s="47"/>
      <c r="C810" s="77"/>
      <c r="D810" s="47"/>
      <c r="E810" s="47"/>
      <c r="F810" s="47"/>
      <c r="G810" s="47"/>
      <c r="H810" s="47"/>
      <c r="I810" s="47"/>
      <c r="J810" s="47"/>
      <c r="K810" s="47"/>
      <c r="L810" s="47"/>
    </row>
    <row r="811" spans="2:12" x14ac:dyDescent="0.2">
      <c r="B811" s="47"/>
      <c r="C811" s="47"/>
      <c r="D811" s="47"/>
      <c r="E811" s="47"/>
      <c r="F811" s="47"/>
      <c r="G811" s="47"/>
      <c r="H811" s="47"/>
      <c r="I811" s="47"/>
      <c r="J811" s="47"/>
      <c r="K811" s="47"/>
      <c r="L811" s="47"/>
    </row>
    <row r="812" spans="2:12" x14ac:dyDescent="0.2">
      <c r="B812" s="47"/>
      <c r="C812" s="72"/>
      <c r="D812" s="47"/>
      <c r="E812" s="47"/>
      <c r="F812" s="47"/>
      <c r="G812" s="47"/>
      <c r="H812" s="47"/>
      <c r="I812" s="47"/>
      <c r="J812" s="47"/>
      <c r="K812" s="47"/>
      <c r="L812" s="47"/>
    </row>
    <row r="813" spans="2:12" x14ac:dyDescent="0.2">
      <c r="B813" s="47"/>
      <c r="C813" s="72"/>
      <c r="D813" s="47"/>
      <c r="E813" s="47"/>
      <c r="F813" s="47"/>
      <c r="G813" s="47"/>
      <c r="H813" s="47"/>
      <c r="I813" s="47"/>
      <c r="J813" s="47"/>
      <c r="K813" s="47"/>
      <c r="L813" s="47"/>
    </row>
    <row r="814" spans="2:12" x14ac:dyDescent="0.2">
      <c r="B814" s="47"/>
      <c r="C814" s="47"/>
      <c r="D814" s="47"/>
      <c r="E814" s="47"/>
      <c r="F814" s="47"/>
      <c r="G814" s="47"/>
      <c r="H814" s="47"/>
      <c r="I814" s="47"/>
      <c r="J814" s="47"/>
      <c r="K814" s="47"/>
      <c r="L814" s="47"/>
    </row>
    <row r="815" spans="2:12" x14ac:dyDescent="0.2">
      <c r="B815" s="47"/>
      <c r="C815" s="47"/>
      <c r="D815" s="47"/>
      <c r="E815" s="47"/>
      <c r="F815" s="47"/>
      <c r="G815" s="47"/>
      <c r="H815" s="47"/>
      <c r="I815" s="47"/>
      <c r="J815" s="47"/>
      <c r="K815" s="47"/>
      <c r="L815" s="47"/>
    </row>
    <row r="816" spans="2:12" x14ac:dyDescent="0.2">
      <c r="B816" s="47"/>
      <c r="C816" s="47"/>
      <c r="D816" s="47"/>
      <c r="E816" s="47"/>
      <c r="F816" s="47"/>
      <c r="G816" s="47"/>
      <c r="H816" s="47"/>
      <c r="I816" s="47"/>
      <c r="J816" s="47"/>
      <c r="K816" s="47"/>
      <c r="L816" s="47"/>
    </row>
    <row r="817" spans="2:12" x14ac:dyDescent="0.2">
      <c r="B817" s="47"/>
      <c r="C817" s="47"/>
      <c r="D817" s="47"/>
      <c r="E817" s="47"/>
      <c r="F817" s="47"/>
      <c r="G817" s="47"/>
      <c r="H817" s="47"/>
      <c r="I817" s="47"/>
      <c r="J817" s="47"/>
      <c r="K817" s="47"/>
      <c r="L817" s="47"/>
    </row>
    <row r="818" spans="2:12" x14ac:dyDescent="0.2">
      <c r="B818" s="47"/>
      <c r="C818" s="47"/>
      <c r="D818" s="47"/>
      <c r="E818" s="47"/>
      <c r="F818" s="47"/>
      <c r="G818" s="47"/>
      <c r="H818" s="47"/>
      <c r="I818" s="47"/>
      <c r="J818" s="47"/>
      <c r="K818" s="47"/>
      <c r="L818" s="47"/>
    </row>
    <row r="819" spans="2:12" x14ac:dyDescent="0.2">
      <c r="B819" s="47"/>
      <c r="C819" s="47"/>
      <c r="D819" s="47"/>
      <c r="E819" s="47"/>
      <c r="F819" s="47"/>
      <c r="G819" s="47"/>
      <c r="H819" s="47"/>
      <c r="I819" s="47"/>
      <c r="J819" s="47"/>
      <c r="K819" s="47"/>
      <c r="L819" s="47"/>
    </row>
    <row r="820" spans="2:12" x14ac:dyDescent="0.2">
      <c r="B820" s="47"/>
      <c r="C820" s="47"/>
      <c r="D820" s="47"/>
      <c r="E820" s="47"/>
      <c r="F820" s="47"/>
      <c r="G820" s="47"/>
      <c r="H820" s="47"/>
      <c r="I820" s="47"/>
      <c r="J820" s="47"/>
      <c r="K820" s="47"/>
      <c r="L820" s="47"/>
    </row>
    <row r="821" spans="2:12" x14ac:dyDescent="0.2">
      <c r="B821" s="47"/>
      <c r="C821" s="47"/>
      <c r="D821" s="47"/>
      <c r="E821" s="47"/>
      <c r="F821" s="47"/>
      <c r="G821" s="47"/>
      <c r="H821" s="47"/>
      <c r="I821" s="47"/>
      <c r="J821" s="47"/>
      <c r="K821" s="47"/>
      <c r="L821" s="47"/>
    </row>
    <row r="822" spans="2:12" x14ac:dyDescent="0.2">
      <c r="B822" s="47"/>
      <c r="C822" s="47"/>
      <c r="D822" s="47"/>
      <c r="E822" s="47"/>
      <c r="F822" s="47"/>
      <c r="G822" s="47"/>
      <c r="H822" s="47"/>
      <c r="I822" s="47"/>
      <c r="J822" s="47"/>
      <c r="K822" s="47"/>
      <c r="L822" s="47"/>
    </row>
    <row r="823" spans="2:12" x14ac:dyDescent="0.2">
      <c r="B823" s="47"/>
      <c r="C823" s="47"/>
      <c r="D823" s="47"/>
      <c r="E823" s="47"/>
      <c r="F823" s="47"/>
      <c r="G823" s="47"/>
      <c r="H823" s="47"/>
      <c r="I823" s="47"/>
      <c r="J823" s="47"/>
      <c r="K823" s="47"/>
      <c r="L823" s="47"/>
    </row>
    <row r="824" spans="2:12" x14ac:dyDescent="0.2">
      <c r="B824" s="47"/>
      <c r="C824" s="47"/>
      <c r="D824" s="47"/>
      <c r="E824" s="47"/>
      <c r="F824" s="47"/>
      <c r="G824" s="47"/>
      <c r="H824" s="47"/>
      <c r="I824" s="47"/>
      <c r="J824" s="47"/>
      <c r="K824" s="47"/>
      <c r="L824" s="47"/>
    </row>
    <row r="825" spans="2:12" x14ac:dyDescent="0.2">
      <c r="B825" s="47"/>
      <c r="C825" s="47"/>
      <c r="D825" s="47"/>
      <c r="E825" s="47"/>
      <c r="F825" s="47"/>
      <c r="G825" s="47"/>
      <c r="H825" s="47"/>
      <c r="I825" s="47"/>
      <c r="J825" s="47"/>
      <c r="K825" s="47"/>
      <c r="L825" s="47"/>
    </row>
    <row r="826" spans="2:12" x14ac:dyDescent="0.2">
      <c r="B826" s="47"/>
      <c r="C826" s="47"/>
      <c r="D826" s="47"/>
      <c r="E826" s="47"/>
      <c r="F826" s="47"/>
      <c r="G826" s="47"/>
      <c r="H826" s="47"/>
      <c r="I826" s="47"/>
      <c r="J826" s="47"/>
      <c r="K826" s="47"/>
      <c r="L826" s="47"/>
    </row>
    <row r="827" spans="2:12" x14ac:dyDescent="0.2">
      <c r="B827" s="47"/>
      <c r="C827" s="47"/>
      <c r="D827" s="47"/>
      <c r="E827" s="47"/>
      <c r="F827" s="47"/>
      <c r="G827" s="47"/>
      <c r="H827" s="47"/>
      <c r="I827" s="47"/>
      <c r="J827" s="47"/>
      <c r="K827" s="47"/>
      <c r="L827" s="47"/>
    </row>
    <row r="828" spans="2:12" x14ac:dyDescent="0.2">
      <c r="B828" s="47"/>
      <c r="C828" s="47"/>
      <c r="D828" s="47"/>
      <c r="E828" s="47"/>
      <c r="F828" s="47"/>
      <c r="G828" s="47"/>
      <c r="H828" s="47"/>
      <c r="I828" s="47"/>
      <c r="J828" s="47"/>
      <c r="K828" s="47"/>
      <c r="L828" s="47"/>
    </row>
    <row r="829" spans="2:12" x14ac:dyDescent="0.2">
      <c r="B829" s="47"/>
      <c r="C829" s="47"/>
      <c r="D829" s="47"/>
      <c r="E829" s="47"/>
      <c r="F829" s="47"/>
      <c r="G829" s="47"/>
      <c r="H829" s="47"/>
      <c r="I829" s="47"/>
      <c r="J829" s="47"/>
      <c r="K829" s="47"/>
      <c r="L829" s="47"/>
    </row>
    <row r="830" spans="2:12" x14ac:dyDescent="0.2">
      <c r="B830" s="47"/>
      <c r="C830" s="47"/>
      <c r="D830" s="47"/>
      <c r="E830" s="47"/>
      <c r="F830" s="47"/>
      <c r="G830" s="47"/>
      <c r="H830" s="47"/>
      <c r="I830" s="47"/>
      <c r="J830" s="47"/>
      <c r="K830" s="47"/>
      <c r="L830" s="47"/>
    </row>
    <row r="831" spans="2:12" x14ac:dyDescent="0.2">
      <c r="B831" s="47"/>
      <c r="C831" s="47"/>
      <c r="D831" s="47"/>
      <c r="E831" s="47"/>
      <c r="F831" s="47"/>
      <c r="G831" s="47"/>
      <c r="H831" s="47"/>
      <c r="I831" s="47"/>
      <c r="J831" s="47"/>
      <c r="K831" s="47"/>
      <c r="L831" s="47"/>
    </row>
    <row r="832" spans="2:12" x14ac:dyDescent="0.2">
      <c r="B832" s="47"/>
      <c r="C832" s="47"/>
      <c r="D832" s="47"/>
      <c r="E832" s="47"/>
      <c r="F832" s="47"/>
      <c r="G832" s="47"/>
      <c r="H832" s="47"/>
      <c r="I832" s="47"/>
      <c r="J832" s="47"/>
      <c r="K832" s="47"/>
      <c r="L832" s="47"/>
    </row>
    <row r="833" spans="2:12" x14ac:dyDescent="0.2">
      <c r="B833" s="47"/>
      <c r="C833" s="47"/>
      <c r="D833" s="47"/>
      <c r="E833" s="47"/>
      <c r="F833" s="47"/>
      <c r="G833" s="47"/>
      <c r="H833" s="47"/>
      <c r="I833" s="47"/>
      <c r="J833" s="47"/>
      <c r="K833" s="47"/>
      <c r="L833" s="47"/>
    </row>
    <row r="834" spans="2:12" x14ac:dyDescent="0.2">
      <c r="B834" s="47"/>
      <c r="C834" s="47"/>
      <c r="D834" s="47"/>
      <c r="E834" s="47"/>
      <c r="F834" s="47"/>
      <c r="G834" s="47"/>
      <c r="H834" s="47"/>
      <c r="I834" s="47"/>
      <c r="J834" s="47"/>
      <c r="K834" s="47"/>
      <c r="L834" s="47"/>
    </row>
    <row r="835" spans="2:12" x14ac:dyDescent="0.2">
      <c r="B835" s="47"/>
      <c r="C835" s="47"/>
      <c r="D835" s="47"/>
      <c r="E835" s="47"/>
      <c r="F835" s="47"/>
      <c r="G835" s="47"/>
      <c r="H835" s="47"/>
      <c r="I835" s="47"/>
      <c r="J835" s="47"/>
      <c r="K835" s="47"/>
      <c r="L835" s="47"/>
    </row>
    <row r="836" spans="2:12" x14ac:dyDescent="0.2">
      <c r="B836" s="47"/>
      <c r="C836" s="47"/>
      <c r="D836" s="47"/>
      <c r="E836" s="47"/>
      <c r="F836" s="47"/>
      <c r="G836" s="47"/>
      <c r="H836" s="47"/>
      <c r="I836" s="47"/>
      <c r="J836" s="47"/>
      <c r="K836" s="47"/>
      <c r="L836" s="47"/>
    </row>
    <row r="837" spans="2:12" x14ac:dyDescent="0.2">
      <c r="B837" s="47"/>
      <c r="C837" s="47"/>
      <c r="D837" s="47"/>
      <c r="E837" s="47"/>
      <c r="F837" s="47"/>
      <c r="G837" s="47"/>
      <c r="H837" s="47"/>
      <c r="I837" s="47"/>
      <c r="J837" s="47"/>
      <c r="K837" s="47"/>
      <c r="L837" s="47"/>
    </row>
    <row r="838" spans="2:12" x14ac:dyDescent="0.2">
      <c r="B838" s="47"/>
      <c r="C838" s="47"/>
      <c r="D838" s="47"/>
      <c r="E838" s="47"/>
      <c r="F838" s="47"/>
      <c r="G838" s="47"/>
      <c r="H838" s="47"/>
      <c r="I838" s="47"/>
      <c r="J838" s="47"/>
      <c r="K838" s="47"/>
      <c r="L838" s="47"/>
    </row>
    <row r="839" spans="2:12" x14ac:dyDescent="0.2">
      <c r="B839" s="47"/>
      <c r="C839" s="47"/>
      <c r="D839" s="47"/>
      <c r="E839" s="47"/>
      <c r="F839" s="47"/>
      <c r="G839" s="47"/>
      <c r="H839" s="47"/>
      <c r="I839" s="47"/>
      <c r="J839" s="47"/>
      <c r="K839" s="47"/>
      <c r="L839" s="47"/>
    </row>
    <row r="840" spans="2:12" x14ac:dyDescent="0.2">
      <c r="B840" s="47"/>
      <c r="C840" s="47"/>
      <c r="D840" s="47"/>
      <c r="E840" s="47"/>
      <c r="F840" s="47"/>
      <c r="G840" s="47"/>
      <c r="H840" s="47"/>
      <c r="I840" s="47"/>
      <c r="J840" s="47"/>
      <c r="K840" s="47"/>
      <c r="L840" s="47"/>
    </row>
    <row r="841" spans="2:12" x14ac:dyDescent="0.2">
      <c r="B841" s="47"/>
      <c r="C841" s="47"/>
      <c r="D841" s="47"/>
      <c r="E841" s="47"/>
      <c r="F841" s="47"/>
      <c r="G841" s="47"/>
      <c r="H841" s="47"/>
      <c r="I841" s="47"/>
      <c r="J841" s="47"/>
      <c r="K841" s="47"/>
      <c r="L841" s="47"/>
    </row>
    <row r="842" spans="2:12" x14ac:dyDescent="0.2">
      <c r="B842" s="47"/>
      <c r="C842" s="47"/>
      <c r="D842" s="47"/>
      <c r="E842" s="47"/>
      <c r="F842" s="47"/>
      <c r="G842" s="47"/>
      <c r="H842" s="47"/>
      <c r="I842" s="47"/>
      <c r="J842" s="47"/>
      <c r="K842" s="47"/>
      <c r="L842" s="47"/>
    </row>
    <row r="843" spans="2:12" x14ac:dyDescent="0.2">
      <c r="B843" s="47"/>
      <c r="C843" s="47"/>
      <c r="D843" s="47"/>
      <c r="E843" s="47"/>
      <c r="F843" s="47"/>
      <c r="G843" s="47"/>
      <c r="H843" s="47"/>
      <c r="I843" s="47"/>
      <c r="J843" s="47"/>
      <c r="K843" s="47"/>
      <c r="L843" s="47"/>
    </row>
    <row r="844" spans="2:12" x14ac:dyDescent="0.2">
      <c r="B844" s="47"/>
      <c r="C844" s="47"/>
      <c r="D844" s="47"/>
      <c r="E844" s="47"/>
      <c r="F844" s="47"/>
      <c r="G844" s="47"/>
      <c r="H844" s="47"/>
      <c r="I844" s="47"/>
      <c r="J844" s="47"/>
      <c r="K844" s="47"/>
      <c r="L844" s="47"/>
    </row>
    <row r="845" spans="2:12" x14ac:dyDescent="0.2">
      <c r="B845" s="47"/>
      <c r="C845" s="47"/>
      <c r="D845" s="47"/>
      <c r="E845" s="47"/>
      <c r="F845" s="47"/>
      <c r="G845" s="47"/>
      <c r="H845" s="47"/>
      <c r="I845" s="47"/>
      <c r="J845" s="47"/>
      <c r="K845" s="47"/>
      <c r="L845" s="47"/>
    </row>
    <row r="846" spans="2:12" x14ac:dyDescent="0.2">
      <c r="B846" s="47"/>
      <c r="C846" s="47"/>
      <c r="D846" s="47"/>
      <c r="E846" s="47"/>
      <c r="F846" s="47"/>
      <c r="G846" s="47"/>
      <c r="H846" s="47"/>
      <c r="I846" s="47"/>
      <c r="J846" s="47"/>
      <c r="K846" s="47"/>
      <c r="L846" s="47"/>
    </row>
    <row r="847" spans="2:12" x14ac:dyDescent="0.2">
      <c r="B847" s="47"/>
      <c r="C847" s="47"/>
      <c r="D847" s="47"/>
      <c r="E847" s="47"/>
      <c r="F847" s="47"/>
      <c r="G847" s="47"/>
      <c r="H847" s="47"/>
      <c r="I847" s="47"/>
      <c r="J847" s="47"/>
      <c r="K847" s="47"/>
      <c r="L847" s="47"/>
    </row>
    <row r="848" spans="2:12" x14ac:dyDescent="0.2">
      <c r="B848" s="47"/>
      <c r="C848" s="47"/>
      <c r="D848" s="47"/>
      <c r="E848" s="47"/>
      <c r="F848" s="47"/>
      <c r="G848" s="47"/>
      <c r="H848" s="47"/>
      <c r="I848" s="47"/>
      <c r="J848" s="47"/>
      <c r="K848" s="47"/>
      <c r="L848" s="47"/>
    </row>
    <row r="849" spans="2:12" x14ac:dyDescent="0.2">
      <c r="B849" s="47"/>
      <c r="C849" s="47"/>
      <c r="D849" s="47"/>
      <c r="E849" s="47"/>
      <c r="F849" s="47"/>
      <c r="G849" s="47"/>
      <c r="H849" s="47"/>
      <c r="I849" s="47"/>
      <c r="J849" s="47"/>
      <c r="K849" s="47"/>
      <c r="L849" s="47"/>
    </row>
    <row r="850" spans="2:12" x14ac:dyDescent="0.2">
      <c r="B850" s="47"/>
      <c r="C850" s="47"/>
      <c r="D850" s="47"/>
      <c r="E850" s="47"/>
      <c r="F850" s="47"/>
      <c r="G850" s="47"/>
      <c r="H850" s="47"/>
      <c r="I850" s="47"/>
      <c r="J850" s="47"/>
      <c r="K850" s="47"/>
      <c r="L850" s="47"/>
    </row>
    <row r="851" spans="2:12" x14ac:dyDescent="0.2">
      <c r="B851" s="47"/>
      <c r="C851" s="47"/>
      <c r="D851" s="47"/>
      <c r="E851" s="47"/>
      <c r="F851" s="47"/>
      <c r="G851" s="47"/>
      <c r="H851" s="47"/>
      <c r="I851" s="47"/>
      <c r="J851" s="47"/>
      <c r="K851" s="47"/>
      <c r="L851" s="47"/>
    </row>
    <row r="852" spans="2:12" x14ac:dyDescent="0.2">
      <c r="B852" s="47"/>
      <c r="C852" s="47"/>
      <c r="D852" s="47"/>
      <c r="E852" s="47"/>
      <c r="F852" s="47"/>
      <c r="G852" s="47"/>
      <c r="H852" s="47"/>
      <c r="I852" s="47"/>
      <c r="J852" s="47"/>
      <c r="K852" s="47"/>
      <c r="L852" s="47"/>
    </row>
    <row r="853" spans="2:12" x14ac:dyDescent="0.2">
      <c r="B853" s="47"/>
      <c r="C853" s="47"/>
      <c r="D853" s="47"/>
      <c r="E853" s="47"/>
      <c r="F853" s="47"/>
      <c r="G853" s="47"/>
      <c r="H853" s="47"/>
      <c r="I853" s="47"/>
      <c r="J853" s="47"/>
      <c r="K853" s="47"/>
      <c r="L853" s="47"/>
    </row>
    <row r="854" spans="2:12" x14ac:dyDescent="0.2">
      <c r="B854" s="47"/>
      <c r="C854" s="47"/>
      <c r="D854" s="47"/>
      <c r="E854" s="47"/>
      <c r="F854" s="47"/>
      <c r="G854" s="47"/>
      <c r="H854" s="47"/>
      <c r="I854" s="47"/>
      <c r="J854" s="47"/>
      <c r="K854" s="47"/>
      <c r="L854" s="47"/>
    </row>
    <row r="855" spans="2:12" x14ac:dyDescent="0.2">
      <c r="B855" s="47"/>
      <c r="C855" s="47"/>
      <c r="D855" s="47"/>
      <c r="E855" s="47"/>
      <c r="F855" s="47"/>
      <c r="G855" s="47"/>
      <c r="H855" s="47"/>
      <c r="I855" s="47"/>
      <c r="J855" s="47"/>
      <c r="K855" s="47"/>
      <c r="L855" s="47"/>
    </row>
    <row r="856" spans="2:12" x14ac:dyDescent="0.2">
      <c r="B856" s="47"/>
      <c r="C856" s="47"/>
      <c r="D856" s="47"/>
      <c r="E856" s="47"/>
      <c r="F856" s="47"/>
      <c r="G856" s="47"/>
      <c r="H856" s="47"/>
      <c r="I856" s="47"/>
      <c r="J856" s="47"/>
      <c r="K856" s="47"/>
      <c r="L856" s="47"/>
    </row>
    <row r="857" spans="2:12" x14ac:dyDescent="0.2">
      <c r="B857" s="47"/>
      <c r="C857" s="47"/>
      <c r="D857" s="47"/>
      <c r="E857" s="47"/>
      <c r="F857" s="47"/>
      <c r="G857" s="47"/>
      <c r="H857" s="47"/>
      <c r="I857" s="47"/>
      <c r="J857" s="47"/>
      <c r="K857" s="47"/>
      <c r="L857" s="47"/>
    </row>
    <row r="858" spans="2:12" x14ac:dyDescent="0.2">
      <c r="B858" s="47"/>
      <c r="C858" s="47"/>
      <c r="D858" s="47"/>
      <c r="E858" s="47"/>
      <c r="F858" s="47"/>
      <c r="G858" s="47"/>
      <c r="H858" s="47"/>
      <c r="I858" s="47"/>
      <c r="J858" s="47"/>
      <c r="K858" s="47"/>
      <c r="L858" s="47"/>
    </row>
    <row r="859" spans="2:12" x14ac:dyDescent="0.2">
      <c r="B859" s="47"/>
      <c r="C859" s="47"/>
      <c r="D859" s="47"/>
      <c r="E859" s="47"/>
      <c r="F859" s="47"/>
      <c r="G859" s="47"/>
      <c r="H859" s="47"/>
      <c r="I859" s="47"/>
      <c r="J859" s="47"/>
      <c r="K859" s="47"/>
      <c r="L859" s="47"/>
    </row>
    <row r="860" spans="2:12" x14ac:dyDescent="0.2">
      <c r="B860" s="47"/>
      <c r="C860" s="47"/>
      <c r="D860" s="47"/>
      <c r="E860" s="47"/>
      <c r="F860" s="47"/>
      <c r="G860" s="47"/>
      <c r="H860" s="47"/>
      <c r="I860" s="47"/>
      <c r="J860" s="47"/>
      <c r="K860" s="47"/>
      <c r="L860" s="47"/>
    </row>
    <row r="861" spans="2:12" x14ac:dyDescent="0.2">
      <c r="B861" s="47"/>
      <c r="C861" s="47"/>
      <c r="D861" s="47"/>
      <c r="E861" s="47"/>
      <c r="F861" s="47"/>
      <c r="G861" s="47"/>
      <c r="H861" s="47"/>
      <c r="I861" s="47"/>
      <c r="J861" s="47"/>
      <c r="K861" s="47"/>
      <c r="L861" s="47"/>
    </row>
    <row r="862" spans="2:12" x14ac:dyDescent="0.2">
      <c r="B862" s="47"/>
      <c r="C862" s="47"/>
      <c r="D862" s="47"/>
      <c r="E862" s="47"/>
      <c r="F862" s="47"/>
      <c r="G862" s="47"/>
      <c r="H862" s="47"/>
      <c r="I862" s="47"/>
      <c r="J862" s="47"/>
      <c r="K862" s="47"/>
      <c r="L862" s="47"/>
    </row>
    <row r="863" spans="2:12" x14ac:dyDescent="0.2">
      <c r="B863" s="47"/>
      <c r="C863" s="47"/>
      <c r="D863" s="47"/>
      <c r="E863" s="47"/>
      <c r="F863" s="47"/>
      <c r="G863" s="47"/>
      <c r="H863" s="47"/>
      <c r="I863" s="47"/>
      <c r="J863" s="47"/>
      <c r="K863" s="47"/>
      <c r="L863" s="47"/>
    </row>
    <row r="864" spans="2:12" x14ac:dyDescent="0.2">
      <c r="B864" s="47"/>
      <c r="C864" s="47"/>
      <c r="D864" s="47"/>
      <c r="E864" s="47"/>
      <c r="F864" s="47"/>
      <c r="G864" s="47"/>
      <c r="H864" s="47"/>
      <c r="I864" s="47"/>
      <c r="J864" s="47"/>
      <c r="K864" s="47"/>
      <c r="L864" s="47"/>
    </row>
    <row r="865" spans="2:12" x14ac:dyDescent="0.2">
      <c r="B865" s="47"/>
      <c r="C865" s="47"/>
      <c r="D865" s="47"/>
      <c r="E865" s="47"/>
      <c r="F865" s="47"/>
      <c r="G865" s="47"/>
      <c r="H865" s="47"/>
      <c r="I865" s="47"/>
      <c r="J865" s="47"/>
      <c r="K865" s="47"/>
      <c r="L865" s="47"/>
    </row>
    <row r="866" spans="2:12" x14ac:dyDescent="0.2">
      <c r="B866" s="47"/>
      <c r="C866" s="47"/>
      <c r="D866" s="47"/>
      <c r="E866" s="47"/>
      <c r="F866" s="47"/>
      <c r="G866" s="47"/>
      <c r="H866" s="47"/>
      <c r="I866" s="47"/>
      <c r="J866" s="47"/>
      <c r="K866" s="47"/>
      <c r="L866" s="47"/>
    </row>
    <row r="867" spans="2:12" x14ac:dyDescent="0.2">
      <c r="B867" s="47"/>
      <c r="C867" s="47"/>
      <c r="D867" s="47"/>
      <c r="E867" s="47"/>
      <c r="F867" s="47"/>
      <c r="G867" s="47"/>
      <c r="H867" s="47"/>
      <c r="I867" s="47"/>
      <c r="J867" s="47"/>
      <c r="K867" s="47"/>
      <c r="L867" s="47"/>
    </row>
    <row r="868" spans="2:12" x14ac:dyDescent="0.2">
      <c r="B868" s="47"/>
      <c r="C868" s="47"/>
      <c r="D868" s="47"/>
      <c r="E868" s="47"/>
      <c r="F868" s="47"/>
      <c r="G868" s="47"/>
      <c r="H868" s="47"/>
      <c r="I868" s="47"/>
      <c r="J868" s="47"/>
      <c r="K868" s="47"/>
      <c r="L868" s="47"/>
    </row>
    <row r="869" spans="2:12" x14ac:dyDescent="0.2">
      <c r="B869" s="47"/>
      <c r="C869" s="47"/>
      <c r="D869" s="47"/>
      <c r="E869" s="47"/>
      <c r="F869" s="47"/>
      <c r="G869" s="47"/>
      <c r="H869" s="47"/>
      <c r="I869" s="47"/>
      <c r="J869" s="47"/>
      <c r="K869" s="47"/>
      <c r="L869" s="47"/>
    </row>
    <row r="870" spans="2:12" x14ac:dyDescent="0.2">
      <c r="B870" s="47"/>
      <c r="C870" s="47"/>
      <c r="D870" s="47"/>
      <c r="E870" s="47"/>
      <c r="F870" s="47"/>
      <c r="G870" s="47"/>
      <c r="H870" s="47"/>
      <c r="I870" s="47"/>
      <c r="J870" s="47"/>
      <c r="K870" s="47"/>
      <c r="L870" s="47"/>
    </row>
    <row r="871" spans="2:12" x14ac:dyDescent="0.2">
      <c r="B871" s="47"/>
      <c r="C871" s="47"/>
      <c r="D871" s="47"/>
      <c r="E871" s="47"/>
      <c r="F871" s="47"/>
      <c r="G871" s="47"/>
      <c r="H871" s="47"/>
      <c r="I871" s="47"/>
      <c r="J871" s="47"/>
      <c r="K871" s="47"/>
      <c r="L871" s="47"/>
    </row>
    <row r="872" spans="2:12" x14ac:dyDescent="0.2">
      <c r="B872" s="47"/>
      <c r="C872" s="47"/>
      <c r="D872" s="47"/>
      <c r="E872" s="47"/>
      <c r="F872" s="47"/>
      <c r="G872" s="47"/>
      <c r="H872" s="47"/>
      <c r="I872" s="47"/>
      <c r="J872" s="47"/>
      <c r="K872" s="47"/>
      <c r="L872" s="47"/>
    </row>
    <row r="873" spans="2:12" x14ac:dyDescent="0.2">
      <c r="B873" s="47"/>
      <c r="C873" s="47"/>
      <c r="D873" s="47"/>
      <c r="E873" s="47"/>
      <c r="F873" s="47"/>
      <c r="G873" s="47"/>
      <c r="H873" s="47"/>
      <c r="I873" s="47"/>
      <c r="J873" s="47"/>
      <c r="K873" s="47"/>
      <c r="L873" s="47"/>
    </row>
    <row r="874" spans="2:12" x14ac:dyDescent="0.2">
      <c r="B874" s="47"/>
      <c r="C874" s="47"/>
      <c r="D874" s="47"/>
      <c r="E874" s="47"/>
      <c r="F874" s="47"/>
      <c r="G874" s="47"/>
      <c r="H874" s="47"/>
      <c r="I874" s="47"/>
      <c r="J874" s="47"/>
      <c r="K874" s="47"/>
      <c r="L874" s="47"/>
    </row>
    <row r="875" spans="2:12" x14ac:dyDescent="0.2">
      <c r="B875" s="47"/>
      <c r="C875" s="47"/>
      <c r="D875" s="47"/>
      <c r="E875" s="47"/>
      <c r="F875" s="47"/>
      <c r="G875" s="47"/>
      <c r="H875" s="47"/>
      <c r="I875" s="47"/>
      <c r="J875" s="47"/>
      <c r="K875" s="47"/>
      <c r="L875" s="47"/>
    </row>
    <row r="876" spans="2:12" x14ac:dyDescent="0.2">
      <c r="B876" s="47"/>
      <c r="C876" s="47"/>
      <c r="D876" s="47"/>
      <c r="E876" s="47"/>
      <c r="F876" s="47"/>
      <c r="G876" s="47"/>
      <c r="H876" s="47"/>
      <c r="I876" s="47"/>
      <c r="J876" s="47"/>
      <c r="K876" s="47"/>
      <c r="L876" s="47"/>
    </row>
    <row r="877" spans="2:12" x14ac:dyDescent="0.2">
      <c r="B877" s="47"/>
      <c r="C877" s="47"/>
      <c r="D877" s="47"/>
      <c r="E877" s="47"/>
      <c r="F877" s="47"/>
      <c r="G877" s="47"/>
      <c r="H877" s="47"/>
      <c r="I877" s="47"/>
      <c r="J877" s="47"/>
      <c r="K877" s="47"/>
      <c r="L877" s="47"/>
    </row>
    <row r="878" spans="2:12" x14ac:dyDescent="0.2">
      <c r="B878" s="47"/>
      <c r="C878" s="47"/>
      <c r="D878" s="47"/>
      <c r="E878" s="47"/>
      <c r="F878" s="47"/>
      <c r="G878" s="47"/>
      <c r="H878" s="47"/>
      <c r="I878" s="47"/>
      <c r="J878" s="47"/>
      <c r="K878" s="47"/>
      <c r="L878" s="47"/>
    </row>
    <row r="879" spans="2:12" x14ac:dyDescent="0.2">
      <c r="B879" s="47"/>
      <c r="C879" s="47"/>
      <c r="D879" s="47"/>
      <c r="E879" s="47"/>
      <c r="F879" s="47"/>
      <c r="G879" s="47"/>
      <c r="H879" s="47"/>
      <c r="I879" s="47"/>
      <c r="J879" s="47"/>
      <c r="K879" s="47"/>
      <c r="L879" s="47"/>
    </row>
    <row r="880" spans="2:12" x14ac:dyDescent="0.2">
      <c r="B880" s="47"/>
      <c r="C880" s="47"/>
      <c r="D880" s="47"/>
      <c r="E880" s="47"/>
      <c r="F880" s="47"/>
      <c r="G880" s="47"/>
      <c r="H880" s="47"/>
      <c r="I880" s="47"/>
      <c r="J880" s="47"/>
      <c r="K880" s="47"/>
      <c r="L880" s="47"/>
    </row>
    <row r="881" spans="2:12" x14ac:dyDescent="0.2">
      <c r="B881" s="47"/>
      <c r="C881" s="47"/>
      <c r="D881" s="47"/>
      <c r="E881" s="47"/>
      <c r="F881" s="47"/>
      <c r="G881" s="47"/>
      <c r="H881" s="47"/>
      <c r="I881" s="47"/>
      <c r="J881" s="47"/>
      <c r="K881" s="47"/>
      <c r="L881" s="47"/>
    </row>
    <row r="882" spans="2:12" x14ac:dyDescent="0.2">
      <c r="B882" s="47"/>
      <c r="C882" s="47"/>
      <c r="D882" s="47"/>
      <c r="E882" s="47"/>
      <c r="F882" s="47"/>
      <c r="G882" s="47"/>
      <c r="H882" s="47"/>
      <c r="I882" s="47"/>
      <c r="J882" s="47"/>
      <c r="K882" s="47"/>
      <c r="L882" s="47"/>
    </row>
    <row r="883" spans="2:12" x14ac:dyDescent="0.2">
      <c r="B883" s="47"/>
      <c r="C883" s="47"/>
      <c r="D883" s="47"/>
      <c r="E883" s="47"/>
      <c r="F883" s="47"/>
      <c r="G883" s="47"/>
      <c r="H883" s="47"/>
      <c r="I883" s="47"/>
      <c r="J883" s="47"/>
      <c r="K883" s="47"/>
      <c r="L883" s="47"/>
    </row>
    <row r="884" spans="2:12" x14ac:dyDescent="0.2">
      <c r="B884" s="47"/>
      <c r="C884" s="47"/>
      <c r="D884" s="47"/>
      <c r="E884" s="47"/>
      <c r="F884" s="47"/>
      <c r="G884" s="47"/>
      <c r="H884" s="47"/>
      <c r="I884" s="47"/>
      <c r="J884" s="47"/>
      <c r="K884" s="47"/>
      <c r="L884" s="47"/>
    </row>
    <row r="885" spans="2:12" x14ac:dyDescent="0.2">
      <c r="B885" s="47"/>
      <c r="C885" s="47"/>
      <c r="D885" s="47"/>
      <c r="E885" s="47"/>
      <c r="F885" s="47"/>
      <c r="G885" s="47"/>
      <c r="H885" s="47"/>
      <c r="I885" s="47"/>
      <c r="J885" s="47"/>
      <c r="K885" s="47"/>
      <c r="L885" s="47"/>
    </row>
    <row r="886" spans="2:12" x14ac:dyDescent="0.2">
      <c r="B886" s="47"/>
      <c r="C886" s="47"/>
      <c r="D886" s="47"/>
      <c r="E886" s="47"/>
      <c r="F886" s="47"/>
      <c r="G886" s="47"/>
      <c r="H886" s="47"/>
      <c r="I886" s="47"/>
      <c r="J886" s="47"/>
      <c r="K886" s="47"/>
      <c r="L886" s="47"/>
    </row>
    <row r="887" spans="2:12" x14ac:dyDescent="0.2">
      <c r="B887" s="47"/>
      <c r="C887" s="47"/>
      <c r="D887" s="47"/>
      <c r="E887" s="47"/>
      <c r="F887" s="47"/>
      <c r="G887" s="47"/>
      <c r="H887" s="47"/>
      <c r="I887" s="47"/>
      <c r="J887" s="47"/>
      <c r="K887" s="47"/>
      <c r="L887" s="47"/>
    </row>
    <row r="888" spans="2:12" x14ac:dyDescent="0.2">
      <c r="B888" s="47"/>
      <c r="C888" s="47"/>
      <c r="D888" s="47"/>
      <c r="E888" s="47"/>
      <c r="F888" s="47"/>
      <c r="G888" s="47"/>
      <c r="H888" s="47"/>
      <c r="I888" s="47"/>
      <c r="J888" s="47"/>
      <c r="K888" s="47"/>
      <c r="L888" s="47"/>
    </row>
    <row r="889" spans="2:12" x14ac:dyDescent="0.2">
      <c r="B889" s="47"/>
      <c r="C889" s="47"/>
      <c r="D889" s="47"/>
      <c r="E889" s="47"/>
      <c r="F889" s="47"/>
      <c r="G889" s="47"/>
      <c r="H889" s="47"/>
      <c r="I889" s="47"/>
      <c r="J889" s="47"/>
      <c r="K889" s="47"/>
      <c r="L889" s="47"/>
    </row>
    <row r="890" spans="2:12" x14ac:dyDescent="0.2">
      <c r="B890" s="47"/>
      <c r="C890" s="47"/>
      <c r="D890" s="47"/>
      <c r="E890" s="47"/>
      <c r="F890" s="47"/>
      <c r="G890" s="47"/>
      <c r="H890" s="47"/>
      <c r="I890" s="47"/>
      <c r="J890" s="47"/>
      <c r="K890" s="47"/>
      <c r="L890" s="47"/>
    </row>
    <row r="891" spans="2:12" x14ac:dyDescent="0.2">
      <c r="B891" s="47"/>
      <c r="C891" s="47"/>
      <c r="D891" s="47"/>
      <c r="E891" s="47"/>
      <c r="F891" s="47"/>
      <c r="G891" s="47"/>
      <c r="H891" s="47"/>
      <c r="I891" s="47"/>
      <c r="J891" s="47"/>
      <c r="K891" s="47"/>
      <c r="L891" s="47"/>
    </row>
    <row r="892" spans="2:12" x14ac:dyDescent="0.2">
      <c r="B892" s="47"/>
      <c r="C892" s="47"/>
      <c r="D892" s="47"/>
      <c r="E892" s="47"/>
      <c r="F892" s="47"/>
      <c r="G892" s="47"/>
      <c r="H892" s="47"/>
      <c r="I892" s="47"/>
      <c r="J892" s="47"/>
      <c r="K892" s="47"/>
      <c r="L892" s="47"/>
    </row>
    <row r="893" spans="2:12" x14ac:dyDescent="0.2">
      <c r="B893" s="47"/>
      <c r="C893" s="47"/>
      <c r="D893" s="47"/>
      <c r="E893" s="47"/>
      <c r="F893" s="47"/>
      <c r="G893" s="47"/>
      <c r="H893" s="47"/>
      <c r="I893" s="47"/>
      <c r="J893" s="47"/>
      <c r="K893" s="47"/>
      <c r="L893" s="47"/>
    </row>
    <row r="894" spans="2:12" x14ac:dyDescent="0.2">
      <c r="B894" s="47"/>
      <c r="C894" s="47"/>
      <c r="D894" s="47"/>
      <c r="E894" s="47"/>
      <c r="F894" s="47"/>
      <c r="G894" s="47"/>
      <c r="H894" s="47"/>
      <c r="I894" s="47"/>
      <c r="J894" s="47"/>
      <c r="K894" s="47"/>
      <c r="L894" s="47"/>
    </row>
    <row r="895" spans="2:12" x14ac:dyDescent="0.2">
      <c r="B895" s="47"/>
      <c r="C895" s="47"/>
      <c r="D895" s="47"/>
      <c r="E895" s="47"/>
      <c r="F895" s="47"/>
      <c r="G895" s="47"/>
      <c r="H895" s="47"/>
      <c r="I895" s="47"/>
      <c r="J895" s="47"/>
      <c r="K895" s="47"/>
      <c r="L895" s="47"/>
    </row>
    <row r="896" spans="2:12" x14ac:dyDescent="0.2">
      <c r="B896" s="47"/>
      <c r="C896" s="47"/>
      <c r="D896" s="47"/>
      <c r="E896" s="47"/>
      <c r="F896" s="47"/>
      <c r="G896" s="47"/>
      <c r="H896" s="47"/>
      <c r="I896" s="47"/>
      <c r="J896" s="47"/>
      <c r="K896" s="47"/>
      <c r="L896" s="47"/>
    </row>
    <row r="897" spans="2:12" x14ac:dyDescent="0.2">
      <c r="B897" s="47"/>
      <c r="C897" s="47"/>
      <c r="D897" s="47"/>
      <c r="E897" s="47"/>
      <c r="F897" s="47"/>
      <c r="G897" s="47"/>
      <c r="H897" s="47"/>
      <c r="I897" s="47"/>
      <c r="J897" s="47"/>
      <c r="K897" s="47"/>
      <c r="L897" s="47"/>
    </row>
    <row r="898" spans="2:12" x14ac:dyDescent="0.2">
      <c r="B898" s="47"/>
      <c r="C898" s="47"/>
      <c r="D898" s="47"/>
      <c r="E898" s="47"/>
      <c r="F898" s="47"/>
      <c r="G898" s="47"/>
      <c r="H898" s="47"/>
      <c r="I898" s="47"/>
      <c r="J898" s="47"/>
      <c r="K898" s="47"/>
      <c r="L898" s="47"/>
    </row>
    <row r="899" spans="2:12" x14ac:dyDescent="0.2">
      <c r="B899" s="47"/>
      <c r="C899" s="47"/>
      <c r="D899" s="47"/>
      <c r="E899" s="47"/>
      <c r="F899" s="47"/>
      <c r="G899" s="47"/>
      <c r="H899" s="47"/>
      <c r="I899" s="47"/>
      <c r="J899" s="47"/>
      <c r="K899" s="47"/>
      <c r="L899" s="47"/>
    </row>
    <row r="900" spans="2:12" x14ac:dyDescent="0.2">
      <c r="B900" s="47"/>
      <c r="C900" s="47"/>
      <c r="D900" s="47"/>
      <c r="E900" s="47"/>
      <c r="F900" s="47"/>
      <c r="G900" s="47"/>
      <c r="H900" s="47"/>
      <c r="I900" s="47"/>
      <c r="J900" s="47"/>
      <c r="K900" s="47"/>
      <c r="L900" s="47"/>
    </row>
    <row r="901" spans="2:12" x14ac:dyDescent="0.2">
      <c r="B901" s="47"/>
      <c r="C901" s="47"/>
      <c r="D901" s="47"/>
      <c r="E901" s="47"/>
      <c r="F901" s="47"/>
      <c r="G901" s="47"/>
      <c r="H901" s="47"/>
      <c r="I901" s="47"/>
      <c r="J901" s="47"/>
      <c r="K901" s="47"/>
      <c r="L901" s="47"/>
    </row>
    <row r="902" spans="2:12" x14ac:dyDescent="0.2">
      <c r="B902" s="47"/>
      <c r="C902" s="47"/>
      <c r="D902" s="47"/>
      <c r="E902" s="47"/>
      <c r="F902" s="47"/>
      <c r="G902" s="47"/>
      <c r="H902" s="47"/>
      <c r="I902" s="47"/>
      <c r="J902" s="47"/>
      <c r="K902" s="47"/>
      <c r="L902" s="47"/>
    </row>
    <row r="903" spans="2:12" x14ac:dyDescent="0.2">
      <c r="B903" s="47"/>
      <c r="C903" s="47"/>
      <c r="D903" s="47"/>
      <c r="E903" s="47"/>
      <c r="F903" s="47"/>
      <c r="G903" s="47"/>
      <c r="H903" s="47"/>
      <c r="I903" s="47"/>
      <c r="J903" s="47"/>
      <c r="K903" s="47"/>
      <c r="L903" s="47"/>
    </row>
    <row r="904" spans="2:12" x14ac:dyDescent="0.2">
      <c r="B904" s="47"/>
      <c r="C904" s="47"/>
      <c r="D904" s="47"/>
      <c r="E904" s="47"/>
      <c r="F904" s="47"/>
      <c r="G904" s="47"/>
      <c r="H904" s="47"/>
      <c r="I904" s="47"/>
      <c r="J904" s="47"/>
      <c r="K904" s="47"/>
      <c r="L904" s="47"/>
    </row>
    <row r="905" spans="2:12" x14ac:dyDescent="0.2">
      <c r="B905" s="47"/>
      <c r="C905" s="47"/>
      <c r="D905" s="47"/>
      <c r="E905" s="47"/>
      <c r="F905" s="47"/>
      <c r="G905" s="47"/>
      <c r="H905" s="47"/>
      <c r="I905" s="47"/>
      <c r="J905" s="47"/>
      <c r="K905" s="47"/>
      <c r="L905" s="47"/>
    </row>
    <row r="906" spans="2:12" x14ac:dyDescent="0.2">
      <c r="B906" s="47"/>
      <c r="C906" s="47"/>
      <c r="D906" s="47"/>
      <c r="E906" s="47"/>
      <c r="F906" s="47"/>
      <c r="G906" s="47"/>
      <c r="H906" s="47"/>
      <c r="I906" s="47"/>
      <c r="J906" s="47"/>
      <c r="K906" s="47"/>
      <c r="L906" s="47"/>
    </row>
    <row r="907" spans="2:12" x14ac:dyDescent="0.2">
      <c r="B907" s="47"/>
      <c r="C907" s="47"/>
      <c r="D907" s="47"/>
      <c r="E907" s="47"/>
      <c r="F907" s="47"/>
      <c r="G907" s="47"/>
      <c r="H907" s="47"/>
      <c r="I907" s="47"/>
      <c r="J907" s="47"/>
      <c r="K907" s="47"/>
      <c r="L907" s="47"/>
    </row>
    <row r="908" spans="2:12" x14ac:dyDescent="0.2">
      <c r="B908" s="47"/>
      <c r="C908" s="47"/>
      <c r="D908" s="47"/>
      <c r="E908" s="47"/>
      <c r="F908" s="47"/>
      <c r="G908" s="47"/>
      <c r="H908" s="47"/>
      <c r="I908" s="47"/>
      <c r="J908" s="47"/>
      <c r="K908" s="47"/>
      <c r="L908" s="47"/>
    </row>
    <row r="909" spans="2:12" x14ac:dyDescent="0.2">
      <c r="B909" s="47"/>
      <c r="C909" s="47"/>
      <c r="D909" s="47"/>
      <c r="E909" s="47"/>
      <c r="F909" s="47"/>
      <c r="G909" s="47"/>
      <c r="H909" s="47"/>
      <c r="I909" s="47"/>
      <c r="J909" s="47"/>
      <c r="K909" s="47"/>
      <c r="L909" s="47"/>
    </row>
    <row r="910" spans="2:12" x14ac:dyDescent="0.2">
      <c r="B910" s="47"/>
      <c r="C910" s="47"/>
      <c r="D910" s="47"/>
      <c r="E910" s="47"/>
      <c r="F910" s="47"/>
      <c r="G910" s="47"/>
      <c r="H910" s="47"/>
      <c r="I910" s="47"/>
      <c r="J910" s="47"/>
      <c r="K910" s="47"/>
      <c r="L910" s="47"/>
    </row>
    <row r="911" spans="2:12" x14ac:dyDescent="0.2">
      <c r="B911" s="47"/>
      <c r="C911" s="47"/>
      <c r="D911" s="47"/>
      <c r="E911" s="47"/>
      <c r="F911" s="47"/>
      <c r="G911" s="47"/>
      <c r="H911" s="47"/>
      <c r="I911" s="47"/>
      <c r="J911" s="47"/>
      <c r="K911" s="47"/>
      <c r="L911" s="47"/>
    </row>
    <row r="912" spans="2:12" x14ac:dyDescent="0.2">
      <c r="B912" s="47"/>
      <c r="C912" s="47"/>
      <c r="D912" s="47"/>
      <c r="E912" s="47"/>
      <c r="F912" s="47"/>
      <c r="G912" s="47"/>
      <c r="H912" s="47"/>
      <c r="I912" s="47"/>
      <c r="J912" s="47"/>
      <c r="K912" s="47"/>
      <c r="L912" s="47"/>
    </row>
    <row r="913" spans="2:12" x14ac:dyDescent="0.2">
      <c r="B913" s="47"/>
      <c r="C913" s="47"/>
      <c r="D913" s="47"/>
      <c r="E913" s="47"/>
      <c r="F913" s="47"/>
      <c r="G913" s="47"/>
      <c r="H913" s="47"/>
      <c r="I913" s="47"/>
      <c r="J913" s="47"/>
      <c r="K913" s="47"/>
      <c r="L913" s="47"/>
    </row>
    <row r="914" spans="2:12" x14ac:dyDescent="0.2">
      <c r="B914" s="47"/>
      <c r="C914" s="47"/>
      <c r="D914" s="47"/>
      <c r="E914" s="47"/>
      <c r="F914" s="47"/>
      <c r="G914" s="47"/>
      <c r="H914" s="47"/>
      <c r="I914" s="47"/>
      <c r="J914" s="47"/>
      <c r="K914" s="47"/>
      <c r="L914" s="47"/>
    </row>
    <row r="915" spans="2:12" x14ac:dyDescent="0.2">
      <c r="B915" s="47"/>
      <c r="C915" s="47"/>
      <c r="D915" s="47"/>
      <c r="E915" s="47"/>
      <c r="F915" s="47"/>
      <c r="G915" s="47"/>
      <c r="H915" s="47"/>
      <c r="I915" s="47"/>
      <c r="J915" s="47"/>
      <c r="K915" s="47"/>
      <c r="L915" s="47"/>
    </row>
    <row r="916" spans="2:12" x14ac:dyDescent="0.2">
      <c r="B916" s="47"/>
      <c r="C916" s="47"/>
      <c r="D916" s="47"/>
      <c r="E916" s="47"/>
      <c r="F916" s="47"/>
      <c r="G916" s="47"/>
      <c r="H916" s="47"/>
      <c r="I916" s="47"/>
      <c r="J916" s="47"/>
      <c r="K916" s="47"/>
      <c r="L916" s="47"/>
    </row>
    <row r="917" spans="2:12" x14ac:dyDescent="0.2">
      <c r="B917" s="47"/>
      <c r="C917" s="47"/>
      <c r="D917" s="47"/>
      <c r="E917" s="47"/>
      <c r="F917" s="47"/>
      <c r="G917" s="47"/>
      <c r="H917" s="47"/>
      <c r="I917" s="47"/>
      <c r="J917" s="47"/>
      <c r="K917" s="47"/>
      <c r="L917" s="47"/>
    </row>
    <row r="918" spans="2:12" x14ac:dyDescent="0.2">
      <c r="B918" s="47"/>
      <c r="C918" s="47"/>
      <c r="D918" s="47"/>
      <c r="E918" s="47"/>
      <c r="F918" s="47"/>
      <c r="G918" s="47"/>
      <c r="H918" s="47"/>
      <c r="I918" s="47"/>
      <c r="J918" s="47"/>
      <c r="K918" s="47"/>
      <c r="L918" s="47"/>
    </row>
    <row r="919" spans="2:12" x14ac:dyDescent="0.2">
      <c r="B919" s="47"/>
      <c r="C919" s="47"/>
      <c r="D919" s="47"/>
      <c r="E919" s="47"/>
      <c r="F919" s="47"/>
      <c r="G919" s="47"/>
      <c r="H919" s="47"/>
      <c r="I919" s="47"/>
      <c r="J919" s="47"/>
      <c r="K919" s="47"/>
      <c r="L919" s="47"/>
    </row>
    <row r="920" spans="2:12" x14ac:dyDescent="0.2">
      <c r="B920" s="47"/>
      <c r="C920" s="47"/>
      <c r="D920" s="47"/>
      <c r="E920" s="47"/>
      <c r="F920" s="47"/>
      <c r="G920" s="47"/>
      <c r="H920" s="47"/>
      <c r="I920" s="47"/>
      <c r="J920" s="47"/>
      <c r="K920" s="47"/>
      <c r="L920" s="47"/>
    </row>
    <row r="921" spans="2:12" x14ac:dyDescent="0.2">
      <c r="B921" s="47"/>
      <c r="C921" s="47"/>
      <c r="D921" s="47"/>
      <c r="E921" s="47"/>
      <c r="F921" s="47"/>
      <c r="G921" s="47"/>
      <c r="H921" s="47"/>
      <c r="I921" s="47"/>
      <c r="J921" s="47"/>
      <c r="K921" s="47"/>
      <c r="L921" s="47"/>
    </row>
    <row r="922" spans="2:12" x14ac:dyDescent="0.2">
      <c r="B922" s="47"/>
      <c r="C922" s="47"/>
      <c r="D922" s="47"/>
      <c r="E922" s="47"/>
      <c r="F922" s="47"/>
      <c r="G922" s="47"/>
      <c r="H922" s="47"/>
      <c r="I922" s="47"/>
      <c r="J922" s="47"/>
      <c r="K922" s="47"/>
      <c r="L922" s="47"/>
    </row>
    <row r="923" spans="2:12" x14ac:dyDescent="0.2">
      <c r="B923" s="47"/>
      <c r="C923" s="47"/>
      <c r="D923" s="47"/>
      <c r="E923" s="47"/>
      <c r="F923" s="47"/>
      <c r="G923" s="47"/>
      <c r="H923" s="47"/>
      <c r="I923" s="47"/>
      <c r="J923" s="47"/>
      <c r="K923" s="47"/>
      <c r="L923" s="47"/>
    </row>
  </sheetData>
  <mergeCells count="4">
    <mergeCell ref="B8:O8"/>
    <mergeCell ref="B9:O9"/>
    <mergeCell ref="B385:H385"/>
    <mergeCell ref="B386:H386"/>
  </mergeCells>
  <phoneticPr fontId="0" type="noConversion"/>
  <printOptions horizontalCentered="1" verticalCentered="1"/>
  <pageMargins left="0.39370078740157483" right="0.39370078740157483" top="0.39370078740157483" bottom="0.59055118110236227" header="0" footer="0"/>
  <pageSetup orientation="landscape" horizontalDpi="4294967293" verticalDpi="300" r:id="rId1"/>
  <headerFooter alignWithMargins="0"/>
  <drawing r:id="rId2"/>
  <legacyDrawing r:id="rId3"/>
  <controls>
    <mc:AlternateContent xmlns:mc="http://schemas.openxmlformats.org/markup-compatibility/2006">
      <mc:Choice Requires="x14">
        <control shapeId="11321" r:id="rId4" name="CommandButton1">
          <controlPr defaultSize="0" autoLine="0" r:id="rId5">
            <anchor moveWithCells="1">
              <from>
                <xdr:col>1</xdr:col>
                <xdr:colOff>190500</xdr:colOff>
                <xdr:row>1</xdr:row>
                <xdr:rowOff>123825</xdr:rowOff>
              </from>
              <to>
                <xdr:col>1</xdr:col>
                <xdr:colOff>1876425</xdr:colOff>
                <xdr:row>5</xdr:row>
                <xdr:rowOff>66675</xdr:rowOff>
              </to>
            </anchor>
          </controlPr>
        </control>
      </mc:Choice>
      <mc:Fallback>
        <control shapeId="11321" r:id="rId4" name="CommandButton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AH1118"/>
  <sheetViews>
    <sheetView showGridLines="0" topLeftCell="A385" zoomScale="120" zoomScaleNormal="120" workbookViewId="0">
      <selection activeCell="E402" sqref="E402"/>
    </sheetView>
  </sheetViews>
  <sheetFormatPr baseColWidth="10" defaultRowHeight="12.75" outlineLevelRow="1" x14ac:dyDescent="0.2"/>
  <cols>
    <col min="1" max="1" width="3.140625" style="280" customWidth="1"/>
    <col min="2" max="2" width="40.7109375" style="280" customWidth="1"/>
    <col min="3" max="3" width="10.42578125" style="280" bestFit="1" customWidth="1"/>
    <col min="4" max="4" width="14.85546875" style="280" bestFit="1" customWidth="1"/>
    <col min="5" max="6" width="15.28515625" style="280" bestFit="1" customWidth="1"/>
    <col min="7" max="7" width="14.28515625" style="280" bestFit="1" customWidth="1"/>
    <col min="8" max="8" width="16.5703125" style="280" bestFit="1" customWidth="1"/>
    <col min="9" max="9" width="15.28515625" style="280" bestFit="1" customWidth="1"/>
    <col min="10" max="10" width="13.85546875" style="280" customWidth="1"/>
    <col min="11" max="15" width="13" style="280" customWidth="1"/>
    <col min="16" max="16" width="16.85546875" style="280" customWidth="1"/>
    <col min="17" max="17" width="11.42578125" style="18"/>
    <col min="18" max="18" width="29.7109375" style="18" bestFit="1" customWidth="1"/>
    <col min="19" max="24" width="15" style="18" customWidth="1"/>
    <col min="25" max="26" width="11.42578125" style="18"/>
    <col min="27" max="27" width="38.28515625" style="18" bestFit="1" customWidth="1"/>
    <col min="28" max="16384" width="11.42578125" style="18"/>
  </cols>
  <sheetData>
    <row r="1" spans="1:34" x14ac:dyDescent="0.2">
      <c r="C1" s="23"/>
      <c r="F1" s="23"/>
      <c r="G1" s="23"/>
      <c r="H1" s="23"/>
    </row>
    <row r="8" spans="1:34" x14ac:dyDescent="0.2">
      <c r="B8" s="770" t="str">
        <f>+Supuestos!B8</f>
        <v>Centro de acopio la Bonanza Campesina</v>
      </c>
      <c r="C8" s="771"/>
      <c r="D8" s="771"/>
      <c r="E8" s="771"/>
      <c r="F8" s="771"/>
      <c r="G8" s="771"/>
      <c r="H8" s="771"/>
      <c r="I8" s="771"/>
      <c r="J8" s="771"/>
      <c r="K8" s="771"/>
      <c r="L8" s="771"/>
      <c r="M8" s="771"/>
      <c r="N8" s="771"/>
      <c r="O8" s="771"/>
      <c r="P8" s="772"/>
    </row>
    <row r="9" spans="1:34" x14ac:dyDescent="0.2">
      <c r="B9" s="773" t="s">
        <v>232</v>
      </c>
      <c r="C9" s="774"/>
      <c r="D9" s="774"/>
      <c r="E9" s="774"/>
      <c r="F9" s="774"/>
      <c r="G9" s="774"/>
      <c r="H9" s="774"/>
      <c r="I9" s="774"/>
      <c r="J9" s="774"/>
      <c r="K9" s="774"/>
      <c r="L9" s="774"/>
      <c r="M9" s="774"/>
      <c r="N9" s="774"/>
      <c r="O9" s="774"/>
      <c r="P9" s="775"/>
    </row>
    <row r="11" spans="1:34" x14ac:dyDescent="0.2">
      <c r="B11" s="281" t="s">
        <v>193</v>
      </c>
      <c r="C11" s="281" t="s">
        <v>157</v>
      </c>
      <c r="D11" s="282" t="s">
        <v>218</v>
      </c>
      <c r="E11" s="282" t="s">
        <v>219</v>
      </c>
      <c r="F11" s="282" t="s">
        <v>220</v>
      </c>
      <c r="G11" s="282" t="s">
        <v>221</v>
      </c>
      <c r="H11" s="282" t="s">
        <v>222</v>
      </c>
      <c r="I11" s="282" t="s">
        <v>223</v>
      </c>
      <c r="J11" s="282" t="s">
        <v>224</v>
      </c>
      <c r="K11" s="282" t="s">
        <v>225</v>
      </c>
      <c r="L11" s="282" t="s">
        <v>226</v>
      </c>
      <c r="M11" s="282" t="s">
        <v>227</v>
      </c>
      <c r="N11" s="282" t="s">
        <v>228</v>
      </c>
      <c r="O11" s="282" t="s">
        <v>229</v>
      </c>
      <c r="P11" s="282" t="s">
        <v>230</v>
      </c>
    </row>
    <row r="12" spans="1:34" x14ac:dyDescent="0.2">
      <c r="B12" s="281"/>
      <c r="C12" s="281"/>
      <c r="D12" s="282"/>
      <c r="E12" s="282"/>
      <c r="F12" s="282"/>
      <c r="G12" s="282"/>
      <c r="H12" s="282"/>
      <c r="I12" s="282"/>
      <c r="J12" s="282"/>
      <c r="K12" s="282"/>
      <c r="L12" s="282"/>
      <c r="M12" s="282"/>
      <c r="N12" s="282"/>
      <c r="O12" s="282"/>
      <c r="P12" s="282"/>
      <c r="S12" s="56"/>
      <c r="T12" s="56"/>
      <c r="U12" s="56"/>
      <c r="V12" s="56"/>
      <c r="AA12" s="56"/>
      <c r="AB12" s="56"/>
      <c r="AC12" s="56"/>
      <c r="AD12" s="56"/>
    </row>
    <row r="13" spans="1:34" hidden="1" x14ac:dyDescent="0.2">
      <c r="B13" s="283" t="s">
        <v>196</v>
      </c>
      <c r="C13" s="283"/>
      <c r="D13" s="284">
        <f>+IF(ISERROR(D14/Ingresos!C382),0,(D14/Ingresos!C382))</f>
        <v>0.75346204798187344</v>
      </c>
      <c r="E13" s="284">
        <f>+IF(ISERROR(E14/Ingresos!D382),0,(E14/Ingresos!D382))</f>
        <v>0.75346204798187344</v>
      </c>
      <c r="F13" s="284">
        <f>+IF(ISERROR(F14/Ingresos!E382),0,(F14/Ingresos!E382))</f>
        <v>0.75346204798187344</v>
      </c>
      <c r="G13" s="284">
        <f>+IF(ISERROR(G14/Ingresos!F382),0,(G14/Ingresos!F382))</f>
        <v>0.75346204798187344</v>
      </c>
      <c r="H13" s="284">
        <f>+IF(ISERROR(H14/Ingresos!G382),0,(H14/Ingresos!G382))</f>
        <v>0.75346204798187344</v>
      </c>
      <c r="I13" s="284">
        <f>+IF(ISERROR(I14/Ingresos!H382),0,(I14/Ingresos!H382))</f>
        <v>0.75346204798187344</v>
      </c>
      <c r="J13" s="284">
        <f>+IF(ISERROR(J14/Ingresos!I382),0,(J14/Ingresos!I382))</f>
        <v>0.75346204798187344</v>
      </c>
      <c r="K13" s="284">
        <f>+IF(ISERROR(K14/Ingresos!J382),0,(K14/Ingresos!J382))</f>
        <v>0.75346204798187344</v>
      </c>
      <c r="L13" s="284">
        <f>+IF(ISERROR(L14/Ingresos!K382),0,(L14/Ingresos!K382))</f>
        <v>0.75346204798187344</v>
      </c>
      <c r="M13" s="284">
        <f>+IF(ISERROR(M14/Ingresos!L382),0,(M14/Ingresos!L382))</f>
        <v>0.75346204798187344</v>
      </c>
      <c r="N13" s="284">
        <f>+IF(ISERROR(N14/Ingresos!M382),0,(N14/Ingresos!M382))</f>
        <v>0.75346204798187344</v>
      </c>
      <c r="O13" s="284">
        <f>+IF(ISERROR(O14/Ingresos!N382),0,(O14/Ingresos!N382))</f>
        <v>0.75346204798187344</v>
      </c>
      <c r="P13" s="284">
        <f>+AVERAGE(D13:O13)</f>
        <v>0.75346204798187344</v>
      </c>
      <c r="R13" s="56"/>
      <c r="S13" s="57"/>
      <c r="T13" s="57"/>
      <c r="U13" s="57"/>
      <c r="V13" s="57"/>
      <c r="W13" s="57"/>
      <c r="X13" s="57"/>
      <c r="Y13" s="57"/>
      <c r="Z13" s="56"/>
      <c r="AA13" s="58"/>
      <c r="AB13" s="57"/>
      <c r="AC13" s="58"/>
      <c r="AD13" s="58"/>
      <c r="AE13" s="58"/>
      <c r="AF13" s="58"/>
      <c r="AG13" s="64"/>
    </row>
    <row r="14" spans="1:34" x14ac:dyDescent="0.2">
      <c r="B14" s="285" t="s">
        <v>194</v>
      </c>
      <c r="C14" s="285"/>
      <c r="D14" s="286">
        <f>SUM(D16:D19)</f>
        <v>94290848.886759996</v>
      </c>
      <c r="E14" s="286">
        <f t="shared" ref="E14:P14" si="0">SUM(E16:E19)</f>
        <v>94290848.886759996</v>
      </c>
      <c r="F14" s="286">
        <f t="shared" si="0"/>
        <v>94290848.886759996</v>
      </c>
      <c r="G14" s="286">
        <f t="shared" si="0"/>
        <v>94290848.886759996</v>
      </c>
      <c r="H14" s="286">
        <f t="shared" si="0"/>
        <v>94290848.886759996</v>
      </c>
      <c r="I14" s="286">
        <f t="shared" si="0"/>
        <v>94290848.886759996</v>
      </c>
      <c r="J14" s="286">
        <f t="shared" si="0"/>
        <v>94290848.886759996</v>
      </c>
      <c r="K14" s="286">
        <f t="shared" si="0"/>
        <v>94290848.886759996</v>
      </c>
      <c r="L14" s="286">
        <f t="shared" si="0"/>
        <v>94290848.886759996</v>
      </c>
      <c r="M14" s="286">
        <f t="shared" si="0"/>
        <v>94290848.886759996</v>
      </c>
      <c r="N14" s="286">
        <f t="shared" si="0"/>
        <v>94290848.886759996</v>
      </c>
      <c r="O14" s="286">
        <f t="shared" si="0"/>
        <v>94290848.886759996</v>
      </c>
      <c r="P14" s="286">
        <f t="shared" si="0"/>
        <v>1131490186.6411202</v>
      </c>
      <c r="Q14" s="131"/>
      <c r="R14" s="56"/>
      <c r="S14" s="56"/>
      <c r="T14" s="59"/>
      <c r="U14" s="56"/>
      <c r="V14" s="56"/>
      <c r="W14" s="56"/>
      <c r="X14" s="56"/>
      <c r="Y14" s="56"/>
      <c r="Z14" s="56"/>
      <c r="AA14" s="56"/>
      <c r="AB14" s="59"/>
      <c r="AC14" s="56"/>
      <c r="AD14" s="56"/>
      <c r="AE14" s="56"/>
      <c r="AF14" s="56"/>
      <c r="AG14" s="56"/>
    </row>
    <row r="15" spans="1:34" s="20" customFormat="1" x14ac:dyDescent="0.2">
      <c r="A15" s="287"/>
      <c r="B15" s="288"/>
      <c r="C15" s="281"/>
      <c r="D15" s="289"/>
      <c r="E15" s="289"/>
      <c r="F15" s="289"/>
      <c r="G15" s="289"/>
      <c r="H15" s="289"/>
      <c r="I15" s="289"/>
      <c r="J15" s="289"/>
      <c r="K15" s="289"/>
      <c r="L15" s="289"/>
      <c r="M15" s="289"/>
      <c r="N15" s="289"/>
      <c r="O15" s="289"/>
      <c r="P15" s="289"/>
      <c r="R15" s="60"/>
      <c r="S15" s="56"/>
      <c r="T15" s="59"/>
      <c r="U15" s="56"/>
      <c r="V15" s="61"/>
      <c r="W15" s="56"/>
      <c r="X15" s="56"/>
      <c r="Y15" s="56"/>
      <c r="Z15" s="56"/>
      <c r="AA15" s="56"/>
      <c r="AB15" s="59"/>
      <c r="AC15" s="56"/>
      <c r="AD15" s="61"/>
      <c r="AE15" s="56"/>
      <c r="AF15" s="56"/>
      <c r="AG15" s="56"/>
      <c r="AH15" s="18"/>
    </row>
    <row r="16" spans="1:34" x14ac:dyDescent="0.2">
      <c r="B16" s="288" t="s">
        <v>370</v>
      </c>
      <c r="C16" s="281"/>
      <c r="D16" s="289">
        <f>+Nomina!F25+Nomina!F40</f>
        <v>6280924.7999999998</v>
      </c>
      <c r="E16" s="289">
        <f>+Nomina!I25+Nomina!I40</f>
        <v>6280924.7999999998</v>
      </c>
      <c r="F16" s="289">
        <f>+Nomina!L25+Nomina!L40</f>
        <v>6280924.7999999998</v>
      </c>
      <c r="G16" s="289">
        <f>+Nomina!O25+Nomina!O40</f>
        <v>6280924.7999999998</v>
      </c>
      <c r="H16" s="289">
        <f>+Nomina!R25+Nomina!R40</f>
        <v>6280924.7999999998</v>
      </c>
      <c r="I16" s="289">
        <f>+Nomina!U25+Nomina!U40</f>
        <v>6280924.7999999998</v>
      </c>
      <c r="J16" s="289">
        <f>+Nomina!X25+Nomina!X40</f>
        <v>6280924.7999999998</v>
      </c>
      <c r="K16" s="289">
        <f>+Nomina!AA25+Nomina!AA40</f>
        <v>6280924.7999999998</v>
      </c>
      <c r="L16" s="289">
        <f>+Nomina!AD25+Nomina!AD40</f>
        <v>6280924.7999999998</v>
      </c>
      <c r="M16" s="289">
        <f>+Nomina!AG25+Nomina!AG40</f>
        <v>6280924.7999999998</v>
      </c>
      <c r="N16" s="289">
        <f>+Nomina!AJ25+Nomina!AJ40</f>
        <v>6280924.7999999998</v>
      </c>
      <c r="O16" s="289">
        <f>+Nomina!AM25+Nomina!AM40</f>
        <v>6280924.7999999998</v>
      </c>
      <c r="P16" s="289">
        <f>+Nomina!AN25+Nomina!AN40</f>
        <v>75371097.600000009</v>
      </c>
      <c r="R16" s="56"/>
      <c r="S16" s="56"/>
      <c r="T16" s="59"/>
      <c r="U16" s="56"/>
      <c r="V16" s="61"/>
      <c r="W16" s="56"/>
      <c r="X16" s="56"/>
      <c r="Y16" s="56"/>
      <c r="Z16" s="56"/>
      <c r="AA16" s="56"/>
      <c r="AB16" s="59"/>
      <c r="AC16" s="56"/>
      <c r="AD16" s="61"/>
      <c r="AE16" s="56"/>
      <c r="AF16" s="56"/>
      <c r="AG16" s="56"/>
    </row>
    <row r="17" spans="1:34" x14ac:dyDescent="0.2">
      <c r="B17" s="288" t="s">
        <v>301</v>
      </c>
      <c r="C17" s="290"/>
      <c r="D17" s="289">
        <f>+D24++D32++D40+D48+D56+D64+D72+D80+D88+D96+D104+D112+D120+D128+D136+D144+D152+D160+D168+D176+D184+D192+D200+D208+D216+D224+D232+D240+D248+D256+D264+D272+D280+D288+D296+D304+D312+D320+D328+D336+D344+D352+D360+D368+D376+D384</f>
        <v>82177287.803259999</v>
      </c>
      <c r="E17" s="289">
        <f t="shared" ref="E17:P17" si="1">+E24++E32++E40+E48+E56+E64+E72+E80+E88+E96+E104+E112+E120+E128+E136+E144+E152+E160+E168+E176+E184+E192+E200+E208+E216+E224+E232+E240+E248+E256+E264+E272+E280+E288+E296+E304+E312+E320+E328+E336+E344+E352+E360+E368+E376+E384</f>
        <v>82177287.803259999</v>
      </c>
      <c r="F17" s="289">
        <f t="shared" si="1"/>
        <v>82177287.803259999</v>
      </c>
      <c r="G17" s="289">
        <f t="shared" si="1"/>
        <v>82177287.803259999</v>
      </c>
      <c r="H17" s="289">
        <f t="shared" si="1"/>
        <v>82177287.803259999</v>
      </c>
      <c r="I17" s="289">
        <f t="shared" si="1"/>
        <v>82177287.803259999</v>
      </c>
      <c r="J17" s="289">
        <f t="shared" si="1"/>
        <v>82177287.803259999</v>
      </c>
      <c r="K17" s="289">
        <f t="shared" si="1"/>
        <v>82177287.803259999</v>
      </c>
      <c r="L17" s="289">
        <f t="shared" si="1"/>
        <v>82177287.803259999</v>
      </c>
      <c r="M17" s="289">
        <f t="shared" si="1"/>
        <v>82177287.803259999</v>
      </c>
      <c r="N17" s="289">
        <f t="shared" si="1"/>
        <v>82177287.803259999</v>
      </c>
      <c r="O17" s="289">
        <f t="shared" si="1"/>
        <v>82177287.803259999</v>
      </c>
      <c r="P17" s="289">
        <f t="shared" si="1"/>
        <v>986127453.63912022</v>
      </c>
      <c r="R17" s="56"/>
      <c r="S17" s="56"/>
      <c r="T17" s="59"/>
      <c r="U17" s="56"/>
      <c r="V17" s="61"/>
      <c r="W17" s="56"/>
      <c r="X17" s="56"/>
      <c r="Y17" s="56"/>
      <c r="Z17" s="56"/>
      <c r="AA17" s="56"/>
      <c r="AB17" s="59"/>
      <c r="AC17" s="56"/>
      <c r="AD17" s="61"/>
      <c r="AE17" s="56"/>
      <c r="AF17" s="56"/>
      <c r="AG17" s="56"/>
    </row>
    <row r="18" spans="1:34" x14ac:dyDescent="0.2">
      <c r="B18" s="288" t="s">
        <v>314</v>
      </c>
      <c r="C18" s="290"/>
      <c r="D18" s="289">
        <f>+D26+D34+D42+D50+D58+D66+D74+D82+D90+D98+D106+D114+D122+D130+D138+D146+D154+D162+D170+D178+D186+D194+D202+D210+D218+D226+D234+D242+D250+D258+D266+D274+D282+D290+D298+D314+D322+D330+D346+D354+D362+D370+D378+D386</f>
        <v>5832636.2834999999</v>
      </c>
      <c r="E18" s="289">
        <f t="shared" ref="E18:P18" si="2">+E26+E34+E42+E50+E58+E66+E74+E82+E90+E98+E106+E114+E122+E130+E138+E146+E154+E162+E170+E178+E186+E194+E202+E210+E218+E226+E234+E242+E250+E258+E266+E274+E282+E290+E298+E314+E322+E330+E346+E354+E362+E370+E378+E386</f>
        <v>5832636.2834999999</v>
      </c>
      <c r="F18" s="289">
        <f t="shared" si="2"/>
        <v>5832636.2834999999</v>
      </c>
      <c r="G18" s="289">
        <f t="shared" si="2"/>
        <v>5832636.2834999999</v>
      </c>
      <c r="H18" s="289">
        <f t="shared" si="2"/>
        <v>5832636.2834999999</v>
      </c>
      <c r="I18" s="289">
        <f t="shared" si="2"/>
        <v>5832636.2834999999</v>
      </c>
      <c r="J18" s="289">
        <f t="shared" si="2"/>
        <v>5832636.2834999999</v>
      </c>
      <c r="K18" s="289">
        <f t="shared" si="2"/>
        <v>5832636.2834999999</v>
      </c>
      <c r="L18" s="289">
        <f t="shared" si="2"/>
        <v>5832636.2834999999</v>
      </c>
      <c r="M18" s="289">
        <f t="shared" si="2"/>
        <v>5832636.2834999999</v>
      </c>
      <c r="N18" s="289">
        <f t="shared" si="2"/>
        <v>5832636.2834999999</v>
      </c>
      <c r="O18" s="289">
        <f t="shared" si="2"/>
        <v>5832636.2834999999</v>
      </c>
      <c r="P18" s="289">
        <f t="shared" si="2"/>
        <v>69991635.401999995</v>
      </c>
      <c r="R18" s="56"/>
      <c r="S18" s="56"/>
      <c r="T18" s="56"/>
      <c r="U18" s="56"/>
      <c r="V18" s="61"/>
      <c r="W18" s="56"/>
      <c r="X18" s="56"/>
      <c r="Y18" s="56"/>
      <c r="Z18" s="56"/>
      <c r="AA18" s="56"/>
      <c r="AB18" s="56"/>
      <c r="AC18" s="56"/>
      <c r="AD18" s="61"/>
      <c r="AE18" s="56"/>
      <c r="AF18" s="56"/>
      <c r="AG18" s="56"/>
    </row>
    <row r="19" spans="1:34" x14ac:dyDescent="0.2">
      <c r="B19" s="288" t="s">
        <v>316</v>
      </c>
      <c r="C19" s="290"/>
      <c r="D19" s="289">
        <f>+D28+D36+D44+D52+D60+D68+D76+D84+D92+D100+D108+D116+D124+D132+D140+D148+D156+D164+D172+D180+D188+D196+D204+D212+D220+D228+D236+D244+D252+D260+D268+D276+D284+D292+D300+D308+D316+D324+D332+D340+D348+D356+D364+D372+D380+D388</f>
        <v>0</v>
      </c>
      <c r="E19" s="289">
        <f t="shared" ref="E19:O19" si="3">+E28+E36+E44+E52+E60+E68+E76+E84+E92+E100+E108+E116+E124+E132+E140+E148+E156+E164+E172+E180+E188+E196+E204+E212+E220+E228+E236+E244+E252+E260+E268+E276+E284+E292+E300+E308+E316+E324+E332+E340+E348+E356+E364+E372+E380+E388</f>
        <v>0</v>
      </c>
      <c r="F19" s="289">
        <f t="shared" si="3"/>
        <v>0</v>
      </c>
      <c r="G19" s="289">
        <f t="shared" si="3"/>
        <v>0</v>
      </c>
      <c r="H19" s="289">
        <f t="shared" si="3"/>
        <v>0</v>
      </c>
      <c r="I19" s="289">
        <f t="shared" si="3"/>
        <v>0</v>
      </c>
      <c r="J19" s="289">
        <f t="shared" si="3"/>
        <v>0</v>
      </c>
      <c r="K19" s="289">
        <f t="shared" si="3"/>
        <v>0</v>
      </c>
      <c r="L19" s="289">
        <f t="shared" si="3"/>
        <v>0</v>
      </c>
      <c r="M19" s="289">
        <f t="shared" si="3"/>
        <v>0</v>
      </c>
      <c r="N19" s="289">
        <f t="shared" si="3"/>
        <v>0</v>
      </c>
      <c r="O19" s="289">
        <f t="shared" si="3"/>
        <v>0</v>
      </c>
      <c r="P19" s="289">
        <f>+P28+P36+P44+P52+P60+P68+P76+P84+P92+P100+P108+P116+P124+P132+P140+P148+P156+P164+P172+P180+P188+P196+P204+P212+P220+P228+P236+P244+P252+P260+P268+P276+P284+P292+P300+P308+P316+P324+P332+P340+P348+P356+P364+P372+P380+P388</f>
        <v>0</v>
      </c>
      <c r="R19" s="56"/>
      <c r="S19" s="56"/>
      <c r="T19" s="56"/>
      <c r="U19" s="56"/>
      <c r="V19" s="56"/>
      <c r="W19" s="56"/>
      <c r="X19" s="56"/>
      <c r="Y19" s="56"/>
      <c r="Z19" s="56"/>
      <c r="AA19" s="56"/>
      <c r="AB19" s="56"/>
      <c r="AC19" s="56"/>
      <c r="AD19" s="56"/>
      <c r="AE19" s="56"/>
      <c r="AF19" s="56"/>
      <c r="AG19" s="56"/>
    </row>
    <row r="20" spans="1:34" s="65" customFormat="1" x14ac:dyDescent="0.2">
      <c r="A20" s="291"/>
      <c r="B20" s="292"/>
      <c r="C20" s="292"/>
      <c r="D20" s="292"/>
      <c r="E20" s="292"/>
      <c r="F20" s="292"/>
      <c r="G20" s="292"/>
      <c r="H20" s="292"/>
      <c r="I20" s="292"/>
      <c r="J20" s="292"/>
      <c r="K20" s="292"/>
      <c r="L20" s="292"/>
      <c r="M20" s="292"/>
      <c r="N20" s="292"/>
      <c r="O20" s="292"/>
      <c r="P20" s="292"/>
      <c r="R20" s="66"/>
      <c r="S20" s="56"/>
      <c r="T20" s="56"/>
      <c r="U20" s="56"/>
      <c r="V20" s="56"/>
      <c r="W20" s="56"/>
      <c r="X20" s="56"/>
      <c r="Y20" s="56"/>
      <c r="Z20" s="56"/>
      <c r="AA20" s="56"/>
      <c r="AB20" s="56"/>
      <c r="AC20" s="56"/>
      <c r="AD20" s="56"/>
      <c r="AE20" s="56"/>
      <c r="AF20" s="56"/>
      <c r="AG20" s="56"/>
      <c r="AH20" s="18"/>
    </row>
    <row r="21" spans="1:34" ht="15" x14ac:dyDescent="0.25">
      <c r="B21" s="293" t="str">
        <f>+Ingresos!B12</f>
        <v>Arracacha</v>
      </c>
      <c r="C21" s="294"/>
      <c r="D21" s="295"/>
      <c r="E21" s="295"/>
      <c r="F21" s="295"/>
      <c r="G21" s="295"/>
      <c r="H21" s="295"/>
      <c r="I21" s="295"/>
      <c r="J21" s="295"/>
      <c r="K21" s="295"/>
      <c r="L21" s="295"/>
      <c r="M21" s="295"/>
      <c r="N21" s="295"/>
      <c r="O21" s="295"/>
      <c r="P21" s="295"/>
      <c r="R21" s="56"/>
      <c r="S21" s="56"/>
      <c r="T21" s="56"/>
      <c r="U21" s="56"/>
      <c r="V21" s="56"/>
      <c r="W21" s="62"/>
      <c r="X21" s="62"/>
      <c r="Y21" s="56"/>
      <c r="Z21" s="56"/>
      <c r="AA21" s="56"/>
      <c r="AB21" s="56"/>
      <c r="AC21" s="56"/>
      <c r="AD21" s="56"/>
      <c r="AE21" s="62"/>
      <c r="AF21" s="62"/>
      <c r="AG21" s="56"/>
    </row>
    <row r="22" spans="1:34" outlineLevel="1" x14ac:dyDescent="0.2">
      <c r="B22" s="721" t="str">
        <f>+Ingresos!B13</f>
        <v>Cant mes</v>
      </c>
      <c r="C22" s="296" t="s">
        <v>372</v>
      </c>
      <c r="D22" s="297">
        <f>+Ingresos!C13</f>
        <v>36.299999999999997</v>
      </c>
      <c r="E22" s="297">
        <f>+Ingresos!D13</f>
        <v>36.299999999999997</v>
      </c>
      <c r="F22" s="297">
        <f>+Ingresos!E13</f>
        <v>36.299999999999997</v>
      </c>
      <c r="G22" s="297">
        <f>+Ingresos!F13</f>
        <v>36.299999999999997</v>
      </c>
      <c r="H22" s="297">
        <f>+Ingresos!G13</f>
        <v>36.299999999999997</v>
      </c>
      <c r="I22" s="297">
        <f>+Ingresos!H13</f>
        <v>36.299999999999997</v>
      </c>
      <c r="J22" s="297">
        <f>+Ingresos!I13</f>
        <v>36.299999999999997</v>
      </c>
      <c r="K22" s="297">
        <f>+Ingresos!J13</f>
        <v>36.299999999999997</v>
      </c>
      <c r="L22" s="297">
        <f>+Ingresos!K13</f>
        <v>36.299999999999997</v>
      </c>
      <c r="M22" s="297">
        <f>+Ingresos!L13</f>
        <v>36.299999999999997</v>
      </c>
      <c r="N22" s="297">
        <f>+Ingresos!M13</f>
        <v>36.299999999999997</v>
      </c>
      <c r="O22" s="297">
        <f>+Ingresos!N13</f>
        <v>36.299999999999997</v>
      </c>
      <c r="P22" s="298">
        <f>SUM(D22:O22)</f>
        <v>435.60000000000008</v>
      </c>
      <c r="R22" s="56"/>
      <c r="S22" s="56"/>
      <c r="T22" s="63"/>
      <c r="U22" s="56"/>
      <c r="V22" s="56"/>
      <c r="W22" s="56"/>
      <c r="X22" s="56"/>
      <c r="Y22" s="56"/>
      <c r="Z22" s="56"/>
      <c r="AA22" s="56"/>
      <c r="AB22" s="63"/>
      <c r="AC22" s="56"/>
      <c r="AD22" s="56"/>
      <c r="AE22" s="56"/>
      <c r="AF22" s="56"/>
      <c r="AG22" s="56"/>
    </row>
    <row r="23" spans="1:34" outlineLevel="1" x14ac:dyDescent="0.2">
      <c r="B23" s="726" t="s">
        <v>309</v>
      </c>
      <c r="C23" s="300" t="s">
        <v>45</v>
      </c>
      <c r="D23" s="739">
        <f>Ingresos!C16*0.65</f>
        <v>2056.0540000000001</v>
      </c>
      <c r="E23" s="301">
        <f>+D23</f>
        <v>2056.0540000000001</v>
      </c>
      <c r="F23" s="301">
        <f t="shared" ref="F23:O27" si="4">+E23</f>
        <v>2056.0540000000001</v>
      </c>
      <c r="G23" s="301">
        <f t="shared" si="4"/>
        <v>2056.0540000000001</v>
      </c>
      <c r="H23" s="301">
        <f t="shared" si="4"/>
        <v>2056.0540000000001</v>
      </c>
      <c r="I23" s="301">
        <f t="shared" si="4"/>
        <v>2056.0540000000001</v>
      </c>
      <c r="J23" s="301">
        <f t="shared" si="4"/>
        <v>2056.0540000000001</v>
      </c>
      <c r="K23" s="301">
        <f t="shared" si="4"/>
        <v>2056.0540000000001</v>
      </c>
      <c r="L23" s="301">
        <f t="shared" si="4"/>
        <v>2056.0540000000001</v>
      </c>
      <c r="M23" s="301">
        <f t="shared" si="4"/>
        <v>2056.0540000000001</v>
      </c>
      <c r="N23" s="301">
        <f t="shared" si="4"/>
        <v>2056.0540000000001</v>
      </c>
      <c r="O23" s="301">
        <f t="shared" si="4"/>
        <v>2056.0540000000001</v>
      </c>
      <c r="P23" s="302">
        <f>+O23</f>
        <v>2056.0540000000001</v>
      </c>
      <c r="R23" s="56"/>
      <c r="S23" s="56"/>
      <c r="T23" s="56"/>
      <c r="U23" s="56"/>
      <c r="V23" s="56"/>
      <c r="W23" s="56"/>
      <c r="X23" s="56"/>
      <c r="Y23" s="56"/>
      <c r="Z23" s="56"/>
      <c r="AA23" s="56"/>
      <c r="AB23" s="56"/>
      <c r="AC23" s="56"/>
      <c r="AD23" s="56"/>
      <c r="AE23" s="56"/>
      <c r="AF23" s="56"/>
      <c r="AG23" s="56"/>
    </row>
    <row r="24" spans="1:34" ht="15" outlineLevel="1" x14ac:dyDescent="0.25">
      <c r="B24" s="727" t="s">
        <v>315</v>
      </c>
      <c r="C24" s="300" t="s">
        <v>45</v>
      </c>
      <c r="D24" s="304">
        <f>D22*D23</f>
        <v>74634.760200000004</v>
      </c>
      <c r="E24" s="304">
        <f t="shared" ref="E24:O24" si="5">E$22*E23</f>
        <v>74634.760200000004</v>
      </c>
      <c r="F24" s="304">
        <f t="shared" si="5"/>
        <v>74634.760200000004</v>
      </c>
      <c r="G24" s="304">
        <f t="shared" si="5"/>
        <v>74634.760200000004</v>
      </c>
      <c r="H24" s="304">
        <f t="shared" si="5"/>
        <v>74634.760200000004</v>
      </c>
      <c r="I24" s="304">
        <f t="shared" si="5"/>
        <v>74634.760200000004</v>
      </c>
      <c r="J24" s="304">
        <f t="shared" si="5"/>
        <v>74634.760200000004</v>
      </c>
      <c r="K24" s="304">
        <f t="shared" si="5"/>
        <v>74634.760200000004</v>
      </c>
      <c r="L24" s="304">
        <f t="shared" si="5"/>
        <v>74634.760200000004</v>
      </c>
      <c r="M24" s="304">
        <f t="shared" si="5"/>
        <v>74634.760200000004</v>
      </c>
      <c r="N24" s="304">
        <f t="shared" si="5"/>
        <v>74634.760200000004</v>
      </c>
      <c r="O24" s="304">
        <f t="shared" si="5"/>
        <v>74634.760200000004</v>
      </c>
      <c r="P24" s="305">
        <f>SUM(D24:O24)</f>
        <v>895617.12240000011</v>
      </c>
    </row>
    <row r="25" spans="1:34" outlineLevel="1" x14ac:dyDescent="0.2">
      <c r="B25" s="726" t="s">
        <v>310</v>
      </c>
      <c r="C25" s="300" t="s">
        <v>45</v>
      </c>
      <c r="D25" s="278">
        <v>270.66000000000003</v>
      </c>
      <c r="E25" s="301">
        <f>+D25</f>
        <v>270.66000000000003</v>
      </c>
      <c r="F25" s="301">
        <f t="shared" si="4"/>
        <v>270.66000000000003</v>
      </c>
      <c r="G25" s="301">
        <f t="shared" si="4"/>
        <v>270.66000000000003</v>
      </c>
      <c r="H25" s="301">
        <f t="shared" si="4"/>
        <v>270.66000000000003</v>
      </c>
      <c r="I25" s="301">
        <f>+H25</f>
        <v>270.66000000000003</v>
      </c>
      <c r="J25" s="301">
        <f t="shared" si="4"/>
        <v>270.66000000000003</v>
      </c>
      <c r="K25" s="301">
        <f t="shared" si="4"/>
        <v>270.66000000000003</v>
      </c>
      <c r="L25" s="301">
        <f t="shared" si="4"/>
        <v>270.66000000000003</v>
      </c>
      <c r="M25" s="301">
        <f t="shared" si="4"/>
        <v>270.66000000000003</v>
      </c>
      <c r="N25" s="301">
        <f t="shared" si="4"/>
        <v>270.66000000000003</v>
      </c>
      <c r="O25" s="301">
        <f t="shared" si="4"/>
        <v>270.66000000000003</v>
      </c>
      <c r="P25" s="302">
        <f>+O25</f>
        <v>270.66000000000003</v>
      </c>
    </row>
    <row r="26" spans="1:34" ht="15" outlineLevel="1" x14ac:dyDescent="0.25">
      <c r="B26" s="727" t="s">
        <v>315</v>
      </c>
      <c r="C26" s="300" t="s">
        <v>45</v>
      </c>
      <c r="D26" s="304">
        <f>D22*D25</f>
        <v>9824.9580000000005</v>
      </c>
      <c r="E26" s="304">
        <f t="shared" ref="E26:O26" si="6">E$22*E25</f>
        <v>9824.9580000000005</v>
      </c>
      <c r="F26" s="304">
        <f t="shared" si="6"/>
        <v>9824.9580000000005</v>
      </c>
      <c r="G26" s="304">
        <f t="shared" si="6"/>
        <v>9824.9580000000005</v>
      </c>
      <c r="H26" s="304">
        <f t="shared" si="6"/>
        <v>9824.9580000000005</v>
      </c>
      <c r="I26" s="304">
        <f t="shared" si="6"/>
        <v>9824.9580000000005</v>
      </c>
      <c r="J26" s="304">
        <f t="shared" si="6"/>
        <v>9824.9580000000005</v>
      </c>
      <c r="K26" s="304">
        <f t="shared" si="6"/>
        <v>9824.9580000000005</v>
      </c>
      <c r="L26" s="304">
        <f t="shared" si="6"/>
        <v>9824.9580000000005</v>
      </c>
      <c r="M26" s="304">
        <f t="shared" si="6"/>
        <v>9824.9580000000005</v>
      </c>
      <c r="N26" s="304">
        <f t="shared" si="6"/>
        <v>9824.9580000000005</v>
      </c>
      <c r="O26" s="304">
        <f t="shared" si="6"/>
        <v>9824.9580000000005</v>
      </c>
      <c r="P26" s="305">
        <f>SUM(D26:O26)</f>
        <v>117899.496</v>
      </c>
    </row>
    <row r="27" spans="1:34" outlineLevel="1" x14ac:dyDescent="0.2">
      <c r="B27" s="726" t="s">
        <v>311</v>
      </c>
      <c r="C27" s="300" t="s">
        <v>45</v>
      </c>
      <c r="D27" s="278"/>
      <c r="E27" s="301">
        <f>+D27</f>
        <v>0</v>
      </c>
      <c r="F27" s="301">
        <f t="shared" si="4"/>
        <v>0</v>
      </c>
      <c r="G27" s="301">
        <f t="shared" si="4"/>
        <v>0</v>
      </c>
      <c r="H27" s="301">
        <f t="shared" si="4"/>
        <v>0</v>
      </c>
      <c r="I27" s="301">
        <f t="shared" si="4"/>
        <v>0</v>
      </c>
      <c r="J27" s="301">
        <f t="shared" si="4"/>
        <v>0</v>
      </c>
      <c r="K27" s="301">
        <f t="shared" si="4"/>
        <v>0</v>
      </c>
      <c r="L27" s="301">
        <f t="shared" si="4"/>
        <v>0</v>
      </c>
      <c r="M27" s="301">
        <f t="shared" si="4"/>
        <v>0</v>
      </c>
      <c r="N27" s="301">
        <f t="shared" si="4"/>
        <v>0</v>
      </c>
      <c r="O27" s="301">
        <f t="shared" si="4"/>
        <v>0</v>
      </c>
      <c r="P27" s="302">
        <f>+O27</f>
        <v>0</v>
      </c>
    </row>
    <row r="28" spans="1:34" ht="15" outlineLevel="1" x14ac:dyDescent="0.25">
      <c r="B28" s="727" t="s">
        <v>315</v>
      </c>
      <c r="C28" s="300" t="s">
        <v>45</v>
      </c>
      <c r="D28" s="304">
        <f>D22*(D27)</f>
        <v>0</v>
      </c>
      <c r="E28" s="304">
        <f t="shared" ref="E28:O28" si="7">E$22*(E27)</f>
        <v>0</v>
      </c>
      <c r="F28" s="304">
        <f t="shared" si="7"/>
        <v>0</v>
      </c>
      <c r="G28" s="304">
        <f t="shared" si="7"/>
        <v>0</v>
      </c>
      <c r="H28" s="304">
        <f t="shared" si="7"/>
        <v>0</v>
      </c>
      <c r="I28" s="304">
        <f t="shared" si="7"/>
        <v>0</v>
      </c>
      <c r="J28" s="304">
        <f t="shared" si="7"/>
        <v>0</v>
      </c>
      <c r="K28" s="304">
        <f t="shared" si="7"/>
        <v>0</v>
      </c>
      <c r="L28" s="304">
        <f t="shared" si="7"/>
        <v>0</v>
      </c>
      <c r="M28" s="304">
        <f t="shared" si="7"/>
        <v>0</v>
      </c>
      <c r="N28" s="304">
        <f t="shared" si="7"/>
        <v>0</v>
      </c>
      <c r="O28" s="304">
        <f t="shared" si="7"/>
        <v>0</v>
      </c>
      <c r="P28" s="305">
        <f>SUM(D28:O28)</f>
        <v>0</v>
      </c>
    </row>
    <row r="29" spans="1:34" ht="15" x14ac:dyDescent="0.25">
      <c r="B29" s="293" t="str">
        <f>+Ingresos!B20</f>
        <v>Repollo Blanco</v>
      </c>
      <c r="C29" s="294"/>
      <c r="D29" s="295"/>
      <c r="E29" s="295"/>
      <c r="F29" s="295"/>
      <c r="G29" s="295"/>
      <c r="H29" s="295"/>
      <c r="I29" s="295"/>
      <c r="J29" s="295"/>
      <c r="K29" s="295"/>
      <c r="L29" s="295"/>
      <c r="M29" s="295"/>
      <c r="N29" s="295"/>
      <c r="O29" s="295"/>
      <c r="P29" s="295"/>
    </row>
    <row r="30" spans="1:34" outlineLevel="1" x14ac:dyDescent="0.2">
      <c r="B30" s="721" t="str">
        <f>Ingresos!B21</f>
        <v>Cant mes</v>
      </c>
      <c r="C30" s="296" t="s">
        <v>372</v>
      </c>
      <c r="D30" s="297">
        <f>+Ingresos!C21</f>
        <v>653.35</v>
      </c>
      <c r="E30" s="297">
        <f>+Ingresos!D21</f>
        <v>653.35</v>
      </c>
      <c r="F30" s="297">
        <f>+Ingresos!E21</f>
        <v>653.35</v>
      </c>
      <c r="G30" s="297">
        <f>+Ingresos!F21</f>
        <v>653.35</v>
      </c>
      <c r="H30" s="297">
        <f>+Ingresos!G21</f>
        <v>653.35</v>
      </c>
      <c r="I30" s="297">
        <f>+Ingresos!H21</f>
        <v>653.35</v>
      </c>
      <c r="J30" s="297">
        <f>+Ingresos!I21</f>
        <v>653.35</v>
      </c>
      <c r="K30" s="297">
        <f>+Ingresos!J21</f>
        <v>653.35</v>
      </c>
      <c r="L30" s="297">
        <f>+Ingresos!K21</f>
        <v>653.35</v>
      </c>
      <c r="M30" s="297">
        <f>+Ingresos!L21</f>
        <v>653.35</v>
      </c>
      <c r="N30" s="297">
        <f>+Ingresos!M21</f>
        <v>653.35</v>
      </c>
      <c r="O30" s="297">
        <f>+Ingresos!N21</f>
        <v>653.35</v>
      </c>
      <c r="P30" s="298">
        <f>SUM(D30:O30)</f>
        <v>7840.2000000000016</v>
      </c>
    </row>
    <row r="31" spans="1:34" outlineLevel="1" x14ac:dyDescent="0.2">
      <c r="B31" s="726" t="s">
        <v>309</v>
      </c>
      <c r="C31" s="306" t="s">
        <v>45</v>
      </c>
      <c r="D31" s="278">
        <f>Ingresos!C24*0.65</f>
        <v>578.20100000000002</v>
      </c>
      <c r="E31" s="301">
        <f>+D31</f>
        <v>578.20100000000002</v>
      </c>
      <c r="F31" s="301">
        <f t="shared" ref="F31:O31" si="8">+E31</f>
        <v>578.20100000000002</v>
      </c>
      <c r="G31" s="301">
        <f t="shared" si="8"/>
        <v>578.20100000000002</v>
      </c>
      <c r="H31" s="301">
        <f t="shared" si="8"/>
        <v>578.20100000000002</v>
      </c>
      <c r="I31" s="301">
        <f t="shared" si="8"/>
        <v>578.20100000000002</v>
      </c>
      <c r="J31" s="301">
        <f t="shared" si="8"/>
        <v>578.20100000000002</v>
      </c>
      <c r="K31" s="301">
        <f t="shared" si="8"/>
        <v>578.20100000000002</v>
      </c>
      <c r="L31" s="301">
        <f t="shared" si="8"/>
        <v>578.20100000000002</v>
      </c>
      <c r="M31" s="301">
        <f t="shared" si="8"/>
        <v>578.20100000000002</v>
      </c>
      <c r="N31" s="301">
        <f t="shared" si="8"/>
        <v>578.20100000000002</v>
      </c>
      <c r="O31" s="301">
        <f t="shared" si="8"/>
        <v>578.20100000000002</v>
      </c>
      <c r="P31" s="302">
        <f>+O31</f>
        <v>578.20100000000002</v>
      </c>
    </row>
    <row r="32" spans="1:34" ht="15" outlineLevel="1" x14ac:dyDescent="0.25">
      <c r="B32" s="727" t="s">
        <v>315</v>
      </c>
      <c r="C32" s="307" t="s">
        <v>45</v>
      </c>
      <c r="D32" s="304">
        <f>D30*D31</f>
        <v>377767.62335000001</v>
      </c>
      <c r="E32" s="304">
        <f t="shared" ref="E32:O32" si="9">E30*E31</f>
        <v>377767.62335000001</v>
      </c>
      <c r="F32" s="304">
        <f t="shared" si="9"/>
        <v>377767.62335000001</v>
      </c>
      <c r="G32" s="304">
        <f t="shared" si="9"/>
        <v>377767.62335000001</v>
      </c>
      <c r="H32" s="304">
        <f t="shared" si="9"/>
        <v>377767.62335000001</v>
      </c>
      <c r="I32" s="304">
        <f t="shared" si="9"/>
        <v>377767.62335000001</v>
      </c>
      <c r="J32" s="304">
        <f t="shared" si="9"/>
        <v>377767.62335000001</v>
      </c>
      <c r="K32" s="304">
        <f t="shared" si="9"/>
        <v>377767.62335000001</v>
      </c>
      <c r="L32" s="304">
        <f t="shared" si="9"/>
        <v>377767.62335000001</v>
      </c>
      <c r="M32" s="304">
        <f t="shared" si="9"/>
        <v>377767.62335000001</v>
      </c>
      <c r="N32" s="304">
        <f t="shared" si="9"/>
        <v>377767.62335000001</v>
      </c>
      <c r="O32" s="304">
        <f t="shared" si="9"/>
        <v>377767.62335000001</v>
      </c>
      <c r="P32" s="305">
        <f>SUM(D32:O32)</f>
        <v>4533211.4802000001</v>
      </c>
    </row>
    <row r="33" spans="2:16" outlineLevel="1" x14ac:dyDescent="0.2">
      <c r="B33" s="726" t="s">
        <v>310</v>
      </c>
      <c r="C33" s="306" t="s">
        <v>45</v>
      </c>
      <c r="D33" s="278">
        <v>18</v>
      </c>
      <c r="E33" s="301">
        <f>+D33</f>
        <v>18</v>
      </c>
      <c r="F33" s="301">
        <f t="shared" ref="F33:O33" si="10">+E33</f>
        <v>18</v>
      </c>
      <c r="G33" s="301">
        <f t="shared" si="10"/>
        <v>18</v>
      </c>
      <c r="H33" s="301">
        <f t="shared" si="10"/>
        <v>18</v>
      </c>
      <c r="I33" s="301">
        <f t="shared" si="10"/>
        <v>18</v>
      </c>
      <c r="J33" s="301">
        <f t="shared" si="10"/>
        <v>18</v>
      </c>
      <c r="K33" s="301">
        <f t="shared" si="10"/>
        <v>18</v>
      </c>
      <c r="L33" s="301">
        <f t="shared" si="10"/>
        <v>18</v>
      </c>
      <c r="M33" s="301">
        <f t="shared" si="10"/>
        <v>18</v>
      </c>
      <c r="N33" s="301">
        <f t="shared" si="10"/>
        <v>18</v>
      </c>
      <c r="O33" s="301">
        <f t="shared" si="10"/>
        <v>18</v>
      </c>
      <c r="P33" s="302">
        <f>+O33</f>
        <v>18</v>
      </c>
    </row>
    <row r="34" spans="2:16" ht="15" outlineLevel="1" x14ac:dyDescent="0.25">
      <c r="B34" s="727" t="s">
        <v>315</v>
      </c>
      <c r="C34" s="307" t="s">
        <v>45</v>
      </c>
      <c r="D34" s="304">
        <f>D30*D33</f>
        <v>11760.300000000001</v>
      </c>
      <c r="E34" s="304">
        <f>E30*E33</f>
        <v>11760.300000000001</v>
      </c>
      <c r="F34" s="304">
        <f t="shared" ref="F34:O34" si="11">F30*F33</f>
        <v>11760.300000000001</v>
      </c>
      <c r="G34" s="304">
        <f t="shared" si="11"/>
        <v>11760.300000000001</v>
      </c>
      <c r="H34" s="304">
        <f t="shared" si="11"/>
        <v>11760.300000000001</v>
      </c>
      <c r="I34" s="304">
        <f t="shared" si="11"/>
        <v>11760.300000000001</v>
      </c>
      <c r="J34" s="304">
        <f t="shared" si="11"/>
        <v>11760.300000000001</v>
      </c>
      <c r="K34" s="304">
        <f t="shared" si="11"/>
        <v>11760.300000000001</v>
      </c>
      <c r="L34" s="304">
        <f t="shared" si="11"/>
        <v>11760.300000000001</v>
      </c>
      <c r="M34" s="304">
        <f t="shared" si="11"/>
        <v>11760.300000000001</v>
      </c>
      <c r="N34" s="304">
        <f t="shared" si="11"/>
        <v>11760.300000000001</v>
      </c>
      <c r="O34" s="304">
        <f t="shared" si="11"/>
        <v>11760.300000000001</v>
      </c>
      <c r="P34" s="305">
        <f>SUM(D34:O34)</f>
        <v>141123.6</v>
      </c>
    </row>
    <row r="35" spans="2:16" outlineLevel="1" x14ac:dyDescent="0.2">
      <c r="B35" s="726" t="s">
        <v>311</v>
      </c>
      <c r="C35" s="306" t="s">
        <v>45</v>
      </c>
      <c r="D35" s="278"/>
      <c r="E35" s="301">
        <f>+D35</f>
        <v>0</v>
      </c>
      <c r="F35" s="301">
        <f t="shared" ref="F35:O35" si="12">+E35</f>
        <v>0</v>
      </c>
      <c r="G35" s="301">
        <f t="shared" si="12"/>
        <v>0</v>
      </c>
      <c r="H35" s="301">
        <f t="shared" si="12"/>
        <v>0</v>
      </c>
      <c r="I35" s="301">
        <f t="shared" si="12"/>
        <v>0</v>
      </c>
      <c r="J35" s="301">
        <f t="shared" si="12"/>
        <v>0</v>
      </c>
      <c r="K35" s="301">
        <f t="shared" si="12"/>
        <v>0</v>
      </c>
      <c r="L35" s="301">
        <f t="shared" si="12"/>
        <v>0</v>
      </c>
      <c r="M35" s="301">
        <f t="shared" si="12"/>
        <v>0</v>
      </c>
      <c r="N35" s="301">
        <f t="shared" si="12"/>
        <v>0</v>
      </c>
      <c r="O35" s="301">
        <f t="shared" si="12"/>
        <v>0</v>
      </c>
      <c r="P35" s="302">
        <f>+O35</f>
        <v>0</v>
      </c>
    </row>
    <row r="36" spans="2:16" ht="15" outlineLevel="1" x14ac:dyDescent="0.25">
      <c r="B36" s="727" t="s">
        <v>315</v>
      </c>
      <c r="C36" s="307" t="s">
        <v>45</v>
      </c>
      <c r="D36" s="304">
        <f>D30*(D35)</f>
        <v>0</v>
      </c>
      <c r="E36" s="304">
        <f t="shared" ref="E36:O36" si="13">E30*(E35)</f>
        <v>0</v>
      </c>
      <c r="F36" s="304">
        <f t="shared" si="13"/>
        <v>0</v>
      </c>
      <c r="G36" s="304">
        <f t="shared" si="13"/>
        <v>0</v>
      </c>
      <c r="H36" s="304">
        <f t="shared" si="13"/>
        <v>0</v>
      </c>
      <c r="I36" s="304">
        <f t="shared" si="13"/>
        <v>0</v>
      </c>
      <c r="J36" s="304">
        <f t="shared" si="13"/>
        <v>0</v>
      </c>
      <c r="K36" s="304">
        <f t="shared" si="13"/>
        <v>0</v>
      </c>
      <c r="L36" s="304">
        <f t="shared" si="13"/>
        <v>0</v>
      </c>
      <c r="M36" s="304">
        <f t="shared" si="13"/>
        <v>0</v>
      </c>
      <c r="N36" s="304">
        <f t="shared" si="13"/>
        <v>0</v>
      </c>
      <c r="O36" s="304">
        <f t="shared" si="13"/>
        <v>0</v>
      </c>
      <c r="P36" s="305">
        <f>SUM(D36:O36)</f>
        <v>0</v>
      </c>
    </row>
    <row r="37" spans="2:16" ht="15" x14ac:dyDescent="0.25">
      <c r="B37" s="293" t="str">
        <f>+Ingresos!B28</f>
        <v>Ají Dulce</v>
      </c>
      <c r="C37" s="294"/>
      <c r="D37" s="295"/>
      <c r="E37" s="295"/>
      <c r="F37" s="295"/>
      <c r="G37" s="295"/>
      <c r="H37" s="295"/>
      <c r="I37" s="295"/>
      <c r="J37" s="295"/>
      <c r="K37" s="295"/>
      <c r="L37" s="295"/>
      <c r="M37" s="295"/>
      <c r="N37" s="295"/>
      <c r="O37" s="295"/>
      <c r="P37" s="295"/>
    </row>
    <row r="38" spans="2:16" outlineLevel="1" x14ac:dyDescent="0.2">
      <c r="B38" s="726" t="s">
        <v>159</v>
      </c>
      <c r="C38" s="296" t="s">
        <v>372</v>
      </c>
      <c r="D38" s="297">
        <f>+Ingresos!C29</f>
        <v>31.46</v>
      </c>
      <c r="E38" s="297">
        <f>+Ingresos!D29</f>
        <v>31.46</v>
      </c>
      <c r="F38" s="297">
        <f>+Ingresos!E29</f>
        <v>31.46</v>
      </c>
      <c r="G38" s="297">
        <f>+Ingresos!F29</f>
        <v>31.46</v>
      </c>
      <c r="H38" s="297">
        <f>+Ingresos!G29</f>
        <v>31.46</v>
      </c>
      <c r="I38" s="297">
        <f>+Ingresos!H29</f>
        <v>31.46</v>
      </c>
      <c r="J38" s="297">
        <f>+Ingresos!I29</f>
        <v>31.46</v>
      </c>
      <c r="K38" s="297">
        <f>+Ingresos!J29</f>
        <v>31.46</v>
      </c>
      <c r="L38" s="297">
        <f>+Ingresos!K29</f>
        <v>31.46</v>
      </c>
      <c r="M38" s="297">
        <f>+Ingresos!L29</f>
        <v>31.46</v>
      </c>
      <c r="N38" s="297">
        <f>+Ingresos!M29</f>
        <v>31.46</v>
      </c>
      <c r="O38" s="297">
        <f>+Ingresos!N29</f>
        <v>31.46</v>
      </c>
      <c r="P38" s="298">
        <f>SUM(D38:O38)</f>
        <v>377.52</v>
      </c>
    </row>
    <row r="39" spans="2:16" outlineLevel="1" x14ac:dyDescent="0.2">
      <c r="B39" s="726" t="s">
        <v>309</v>
      </c>
      <c r="C39" s="300" t="s">
        <v>45</v>
      </c>
      <c r="D39" s="278">
        <f>Ingresos!C32*0.65</f>
        <v>2000.7</v>
      </c>
      <c r="E39" s="301">
        <f>+D39</f>
        <v>2000.7</v>
      </c>
      <c r="F39" s="301">
        <f t="shared" ref="F39:O39" si="14">+E39</f>
        <v>2000.7</v>
      </c>
      <c r="G39" s="301">
        <f t="shared" si="14"/>
        <v>2000.7</v>
      </c>
      <c r="H39" s="301">
        <f t="shared" si="14"/>
        <v>2000.7</v>
      </c>
      <c r="I39" s="301">
        <f t="shared" si="14"/>
        <v>2000.7</v>
      </c>
      <c r="J39" s="301">
        <f t="shared" si="14"/>
        <v>2000.7</v>
      </c>
      <c r="K39" s="301">
        <f t="shared" si="14"/>
        <v>2000.7</v>
      </c>
      <c r="L39" s="301">
        <f t="shared" si="14"/>
        <v>2000.7</v>
      </c>
      <c r="M39" s="301">
        <f t="shared" si="14"/>
        <v>2000.7</v>
      </c>
      <c r="N39" s="301">
        <f t="shared" si="14"/>
        <v>2000.7</v>
      </c>
      <c r="O39" s="301">
        <f t="shared" si="14"/>
        <v>2000.7</v>
      </c>
      <c r="P39" s="302">
        <f>+O39</f>
        <v>2000.7</v>
      </c>
    </row>
    <row r="40" spans="2:16" ht="15" outlineLevel="1" x14ac:dyDescent="0.25">
      <c r="B40" s="727" t="s">
        <v>315</v>
      </c>
      <c r="C40" s="300" t="s">
        <v>45</v>
      </c>
      <c r="D40" s="304">
        <f>D38*D39</f>
        <v>62942.022000000004</v>
      </c>
      <c r="E40" s="304">
        <f t="shared" ref="E40:O40" si="15">E38*E39</f>
        <v>62942.022000000004</v>
      </c>
      <c r="F40" s="304">
        <f t="shared" si="15"/>
        <v>62942.022000000004</v>
      </c>
      <c r="G40" s="304">
        <f t="shared" si="15"/>
        <v>62942.022000000004</v>
      </c>
      <c r="H40" s="304">
        <f t="shared" si="15"/>
        <v>62942.022000000004</v>
      </c>
      <c r="I40" s="304">
        <f t="shared" si="15"/>
        <v>62942.022000000004</v>
      </c>
      <c r="J40" s="304">
        <f t="shared" si="15"/>
        <v>62942.022000000004</v>
      </c>
      <c r="K40" s="304">
        <f t="shared" si="15"/>
        <v>62942.022000000004</v>
      </c>
      <c r="L40" s="304">
        <f t="shared" si="15"/>
        <v>62942.022000000004</v>
      </c>
      <c r="M40" s="304">
        <f t="shared" si="15"/>
        <v>62942.022000000004</v>
      </c>
      <c r="N40" s="304">
        <f t="shared" si="15"/>
        <v>62942.022000000004</v>
      </c>
      <c r="O40" s="304">
        <f t="shared" si="15"/>
        <v>62942.022000000004</v>
      </c>
      <c r="P40" s="305">
        <f>SUM(D40:O40)</f>
        <v>755304.26400000008</v>
      </c>
    </row>
    <row r="41" spans="2:16" outlineLevel="1" x14ac:dyDescent="0.2">
      <c r="B41" s="726" t="s">
        <v>310</v>
      </c>
      <c r="C41" s="300" t="s">
        <v>45</v>
      </c>
      <c r="D41" s="278">
        <v>261.16000000000003</v>
      </c>
      <c r="E41" s="301">
        <f>+D41</f>
        <v>261.16000000000003</v>
      </c>
      <c r="F41" s="301">
        <f t="shared" ref="F41:O41" si="16">+E41</f>
        <v>261.16000000000003</v>
      </c>
      <c r="G41" s="301">
        <f t="shared" si="16"/>
        <v>261.16000000000003</v>
      </c>
      <c r="H41" s="301">
        <f t="shared" si="16"/>
        <v>261.16000000000003</v>
      </c>
      <c r="I41" s="301">
        <f t="shared" si="16"/>
        <v>261.16000000000003</v>
      </c>
      <c r="J41" s="301">
        <f t="shared" si="16"/>
        <v>261.16000000000003</v>
      </c>
      <c r="K41" s="301">
        <f t="shared" si="16"/>
        <v>261.16000000000003</v>
      </c>
      <c r="L41" s="301">
        <f t="shared" si="16"/>
        <v>261.16000000000003</v>
      </c>
      <c r="M41" s="301">
        <f t="shared" si="16"/>
        <v>261.16000000000003</v>
      </c>
      <c r="N41" s="301">
        <f t="shared" si="16"/>
        <v>261.16000000000003</v>
      </c>
      <c r="O41" s="301">
        <f t="shared" si="16"/>
        <v>261.16000000000003</v>
      </c>
      <c r="P41" s="302">
        <f>+O41</f>
        <v>261.16000000000003</v>
      </c>
    </row>
    <row r="42" spans="2:16" ht="15" outlineLevel="1" x14ac:dyDescent="0.25">
      <c r="B42" s="727" t="s">
        <v>315</v>
      </c>
      <c r="C42" s="300" t="s">
        <v>45</v>
      </c>
      <c r="D42" s="304">
        <f>D38*D41</f>
        <v>8216.0936000000002</v>
      </c>
      <c r="E42" s="304">
        <f t="shared" ref="E42:O42" si="17">E38*E41</f>
        <v>8216.0936000000002</v>
      </c>
      <c r="F42" s="304">
        <f t="shared" si="17"/>
        <v>8216.0936000000002</v>
      </c>
      <c r="G42" s="304">
        <f t="shared" si="17"/>
        <v>8216.0936000000002</v>
      </c>
      <c r="H42" s="304">
        <f t="shared" si="17"/>
        <v>8216.0936000000002</v>
      </c>
      <c r="I42" s="304">
        <f t="shared" si="17"/>
        <v>8216.0936000000002</v>
      </c>
      <c r="J42" s="304">
        <f t="shared" si="17"/>
        <v>8216.0936000000002</v>
      </c>
      <c r="K42" s="304">
        <f t="shared" si="17"/>
        <v>8216.0936000000002</v>
      </c>
      <c r="L42" s="304">
        <f t="shared" si="17"/>
        <v>8216.0936000000002</v>
      </c>
      <c r="M42" s="304">
        <f t="shared" si="17"/>
        <v>8216.0936000000002</v>
      </c>
      <c r="N42" s="304">
        <f t="shared" si="17"/>
        <v>8216.0936000000002</v>
      </c>
      <c r="O42" s="304">
        <f t="shared" si="17"/>
        <v>8216.0936000000002</v>
      </c>
      <c r="P42" s="305">
        <f>SUM(D42:O42)</f>
        <v>98593.123199999973</v>
      </c>
    </row>
    <row r="43" spans="2:16" outlineLevel="1" x14ac:dyDescent="0.2">
      <c r="B43" s="726" t="s">
        <v>311</v>
      </c>
      <c r="C43" s="300" t="s">
        <v>45</v>
      </c>
      <c r="D43" s="278"/>
      <c r="E43" s="301">
        <f>+D43</f>
        <v>0</v>
      </c>
      <c r="F43" s="301">
        <f t="shared" ref="F43:O43" si="18">+E43</f>
        <v>0</v>
      </c>
      <c r="G43" s="301">
        <f t="shared" si="18"/>
        <v>0</v>
      </c>
      <c r="H43" s="301">
        <f t="shared" si="18"/>
        <v>0</v>
      </c>
      <c r="I43" s="301">
        <f t="shared" si="18"/>
        <v>0</v>
      </c>
      <c r="J43" s="301">
        <f t="shared" si="18"/>
        <v>0</v>
      </c>
      <c r="K43" s="301">
        <f t="shared" si="18"/>
        <v>0</v>
      </c>
      <c r="L43" s="301">
        <f t="shared" si="18"/>
        <v>0</v>
      </c>
      <c r="M43" s="301">
        <f t="shared" si="18"/>
        <v>0</v>
      </c>
      <c r="N43" s="301">
        <f t="shared" si="18"/>
        <v>0</v>
      </c>
      <c r="O43" s="301">
        <f t="shared" si="18"/>
        <v>0</v>
      </c>
      <c r="P43" s="302">
        <f>+O43</f>
        <v>0</v>
      </c>
    </row>
    <row r="44" spans="2:16" ht="15" outlineLevel="1" x14ac:dyDescent="0.25">
      <c r="B44" s="727" t="s">
        <v>315</v>
      </c>
      <c r="C44" s="300" t="s">
        <v>45</v>
      </c>
      <c r="D44" s="304">
        <f>D38*(D43)</f>
        <v>0</v>
      </c>
      <c r="E44" s="304">
        <f t="shared" ref="E44:O44" si="19">E38*(E43)</f>
        <v>0</v>
      </c>
      <c r="F44" s="304">
        <f t="shared" si="19"/>
        <v>0</v>
      </c>
      <c r="G44" s="304">
        <f t="shared" si="19"/>
        <v>0</v>
      </c>
      <c r="H44" s="304">
        <f t="shared" si="19"/>
        <v>0</v>
      </c>
      <c r="I44" s="304">
        <f t="shared" si="19"/>
        <v>0</v>
      </c>
      <c r="J44" s="304">
        <f t="shared" si="19"/>
        <v>0</v>
      </c>
      <c r="K44" s="304">
        <f t="shared" si="19"/>
        <v>0</v>
      </c>
      <c r="L44" s="304">
        <f t="shared" si="19"/>
        <v>0</v>
      </c>
      <c r="M44" s="304">
        <f t="shared" si="19"/>
        <v>0</v>
      </c>
      <c r="N44" s="304">
        <f t="shared" si="19"/>
        <v>0</v>
      </c>
      <c r="O44" s="304">
        <f t="shared" si="19"/>
        <v>0</v>
      </c>
      <c r="P44" s="305">
        <f>SUM(D44:O44)</f>
        <v>0</v>
      </c>
    </row>
    <row r="45" spans="2:16" ht="15" x14ac:dyDescent="0.25">
      <c r="B45" s="293" t="str">
        <f>+Ingresos!B36</f>
        <v>Ají Picante</v>
      </c>
      <c r="C45" s="294"/>
      <c r="D45" s="295"/>
      <c r="E45" s="295"/>
      <c r="F45" s="295"/>
      <c r="G45" s="295"/>
      <c r="H45" s="295"/>
      <c r="I45" s="295"/>
      <c r="J45" s="295"/>
      <c r="K45" s="295"/>
      <c r="L45" s="295"/>
      <c r="M45" s="295"/>
      <c r="N45" s="295"/>
      <c r="O45" s="295"/>
      <c r="P45" s="295"/>
    </row>
    <row r="46" spans="2:16" outlineLevel="1" x14ac:dyDescent="0.2">
      <c r="B46" s="726" t="s">
        <v>159</v>
      </c>
      <c r="C46" s="296" t="s">
        <v>372</v>
      </c>
      <c r="D46" s="297">
        <f>+Ingresos!C37</f>
        <v>33.880000000000003</v>
      </c>
      <c r="E46" s="297">
        <f>+Ingresos!D37</f>
        <v>33.880000000000003</v>
      </c>
      <c r="F46" s="297">
        <f>+Ingresos!E37</f>
        <v>33.880000000000003</v>
      </c>
      <c r="G46" s="297">
        <f>+Ingresos!F37</f>
        <v>33.880000000000003</v>
      </c>
      <c r="H46" s="297">
        <f>+Ingresos!G37</f>
        <v>33.880000000000003</v>
      </c>
      <c r="I46" s="297">
        <f>+Ingresos!H37</f>
        <v>33.880000000000003</v>
      </c>
      <c r="J46" s="297">
        <f>+Ingresos!I37</f>
        <v>33.880000000000003</v>
      </c>
      <c r="K46" s="297">
        <f>+Ingresos!J37</f>
        <v>33.880000000000003</v>
      </c>
      <c r="L46" s="297">
        <f>+Ingresos!K37</f>
        <v>33.880000000000003</v>
      </c>
      <c r="M46" s="297">
        <f>+Ingresos!L37</f>
        <v>33.880000000000003</v>
      </c>
      <c r="N46" s="297">
        <f>+Ingresos!M37</f>
        <v>33.880000000000003</v>
      </c>
      <c r="O46" s="297">
        <f>+Ingresos!N37</f>
        <v>33.880000000000003</v>
      </c>
      <c r="P46" s="298">
        <f>SUM(D46:O46)</f>
        <v>406.56</v>
      </c>
    </row>
    <row r="47" spans="2:16" outlineLevel="1" x14ac:dyDescent="0.2">
      <c r="B47" s="726" t="s">
        <v>309</v>
      </c>
      <c r="C47" s="300" t="s">
        <v>45</v>
      </c>
      <c r="D47" s="278">
        <f>Ingresos!C40*0.65</f>
        <v>4001.4</v>
      </c>
      <c r="E47" s="301">
        <f>+D47</f>
        <v>4001.4</v>
      </c>
      <c r="F47" s="301">
        <f t="shared" ref="F47:O47" si="20">+E47</f>
        <v>4001.4</v>
      </c>
      <c r="G47" s="301">
        <f t="shared" si="20"/>
        <v>4001.4</v>
      </c>
      <c r="H47" s="301">
        <f t="shared" si="20"/>
        <v>4001.4</v>
      </c>
      <c r="I47" s="301">
        <f t="shared" si="20"/>
        <v>4001.4</v>
      </c>
      <c r="J47" s="301">
        <f t="shared" si="20"/>
        <v>4001.4</v>
      </c>
      <c r="K47" s="301">
        <f t="shared" si="20"/>
        <v>4001.4</v>
      </c>
      <c r="L47" s="301">
        <f t="shared" si="20"/>
        <v>4001.4</v>
      </c>
      <c r="M47" s="301">
        <f t="shared" si="20"/>
        <v>4001.4</v>
      </c>
      <c r="N47" s="301">
        <f t="shared" si="20"/>
        <v>4001.4</v>
      </c>
      <c r="O47" s="301">
        <f t="shared" si="20"/>
        <v>4001.4</v>
      </c>
      <c r="P47" s="302">
        <f>+O47</f>
        <v>4001.4</v>
      </c>
    </row>
    <row r="48" spans="2:16" ht="15" outlineLevel="1" x14ac:dyDescent="0.25">
      <c r="B48" s="727" t="s">
        <v>315</v>
      </c>
      <c r="C48" s="300" t="s">
        <v>45</v>
      </c>
      <c r="D48" s="304">
        <f>D46*D47</f>
        <v>135567.432</v>
      </c>
      <c r="E48" s="304">
        <f t="shared" ref="E48:O48" si="21">E46*E47</f>
        <v>135567.432</v>
      </c>
      <c r="F48" s="304">
        <f t="shared" si="21"/>
        <v>135567.432</v>
      </c>
      <c r="G48" s="304">
        <f t="shared" si="21"/>
        <v>135567.432</v>
      </c>
      <c r="H48" s="304">
        <f t="shared" si="21"/>
        <v>135567.432</v>
      </c>
      <c r="I48" s="304">
        <f t="shared" si="21"/>
        <v>135567.432</v>
      </c>
      <c r="J48" s="304">
        <f t="shared" si="21"/>
        <v>135567.432</v>
      </c>
      <c r="K48" s="304">
        <f t="shared" si="21"/>
        <v>135567.432</v>
      </c>
      <c r="L48" s="304">
        <f t="shared" si="21"/>
        <v>135567.432</v>
      </c>
      <c r="M48" s="304">
        <f t="shared" si="21"/>
        <v>135567.432</v>
      </c>
      <c r="N48" s="304">
        <f t="shared" si="21"/>
        <v>135567.432</v>
      </c>
      <c r="O48" s="304">
        <f t="shared" si="21"/>
        <v>135567.432</v>
      </c>
      <c r="P48" s="305">
        <f>SUM(D48:O48)</f>
        <v>1626809.1840000001</v>
      </c>
    </row>
    <row r="49" spans="2:16" outlineLevel="1" x14ac:dyDescent="0.2">
      <c r="B49" s="726" t="s">
        <v>310</v>
      </c>
      <c r="C49" s="300" t="s">
        <v>45</v>
      </c>
      <c r="D49" s="278">
        <v>603.16</v>
      </c>
      <c r="E49" s="301">
        <f>+D49</f>
        <v>603.16</v>
      </c>
      <c r="F49" s="301">
        <f t="shared" ref="F49:O49" si="22">+E49</f>
        <v>603.16</v>
      </c>
      <c r="G49" s="301">
        <f t="shared" si="22"/>
        <v>603.16</v>
      </c>
      <c r="H49" s="301">
        <f t="shared" si="22"/>
        <v>603.16</v>
      </c>
      <c r="I49" s="301">
        <f t="shared" si="22"/>
        <v>603.16</v>
      </c>
      <c r="J49" s="301">
        <f t="shared" si="22"/>
        <v>603.16</v>
      </c>
      <c r="K49" s="301">
        <f t="shared" si="22"/>
        <v>603.16</v>
      </c>
      <c r="L49" s="301">
        <f t="shared" si="22"/>
        <v>603.16</v>
      </c>
      <c r="M49" s="301">
        <f t="shared" si="22"/>
        <v>603.16</v>
      </c>
      <c r="N49" s="301">
        <f t="shared" si="22"/>
        <v>603.16</v>
      </c>
      <c r="O49" s="301">
        <f t="shared" si="22"/>
        <v>603.16</v>
      </c>
      <c r="P49" s="302">
        <f>+O49</f>
        <v>603.16</v>
      </c>
    </row>
    <row r="50" spans="2:16" ht="15" outlineLevel="1" x14ac:dyDescent="0.25">
      <c r="B50" s="727" t="s">
        <v>315</v>
      </c>
      <c r="C50" s="300" t="s">
        <v>45</v>
      </c>
      <c r="D50" s="304">
        <f>D46*D49</f>
        <v>20435.060799999999</v>
      </c>
      <c r="E50" s="304">
        <f t="shared" ref="E50:O50" si="23">E46*E49</f>
        <v>20435.060799999999</v>
      </c>
      <c r="F50" s="304">
        <f t="shared" si="23"/>
        <v>20435.060799999999</v>
      </c>
      <c r="G50" s="304">
        <f t="shared" si="23"/>
        <v>20435.060799999999</v>
      </c>
      <c r="H50" s="304">
        <f t="shared" si="23"/>
        <v>20435.060799999999</v>
      </c>
      <c r="I50" s="304">
        <f t="shared" si="23"/>
        <v>20435.060799999999</v>
      </c>
      <c r="J50" s="304">
        <f t="shared" si="23"/>
        <v>20435.060799999999</v>
      </c>
      <c r="K50" s="304">
        <f t="shared" si="23"/>
        <v>20435.060799999999</v>
      </c>
      <c r="L50" s="304">
        <f t="shared" si="23"/>
        <v>20435.060799999999</v>
      </c>
      <c r="M50" s="304">
        <f t="shared" si="23"/>
        <v>20435.060799999999</v>
      </c>
      <c r="N50" s="304">
        <f t="shared" si="23"/>
        <v>20435.060799999999</v>
      </c>
      <c r="O50" s="304">
        <f t="shared" si="23"/>
        <v>20435.060799999999</v>
      </c>
      <c r="P50" s="305">
        <f>SUM(D50:O50)</f>
        <v>245220.72960000005</v>
      </c>
    </row>
    <row r="51" spans="2:16" outlineLevel="1" x14ac:dyDescent="0.2">
      <c r="B51" s="726" t="s">
        <v>311</v>
      </c>
      <c r="C51" s="300" t="s">
        <v>45</v>
      </c>
      <c r="D51" s="278"/>
      <c r="E51" s="301">
        <f>+D51</f>
        <v>0</v>
      </c>
      <c r="F51" s="301">
        <f t="shared" ref="F51:O51" si="24">+E51</f>
        <v>0</v>
      </c>
      <c r="G51" s="301">
        <f t="shared" si="24"/>
        <v>0</v>
      </c>
      <c r="H51" s="301">
        <f t="shared" si="24"/>
        <v>0</v>
      </c>
      <c r="I51" s="301">
        <f t="shared" si="24"/>
        <v>0</v>
      </c>
      <c r="J51" s="301">
        <f t="shared" si="24"/>
        <v>0</v>
      </c>
      <c r="K51" s="301">
        <f t="shared" si="24"/>
        <v>0</v>
      </c>
      <c r="L51" s="301">
        <f t="shared" si="24"/>
        <v>0</v>
      </c>
      <c r="M51" s="301">
        <f t="shared" si="24"/>
        <v>0</v>
      </c>
      <c r="N51" s="301">
        <f t="shared" si="24"/>
        <v>0</v>
      </c>
      <c r="O51" s="301">
        <f t="shared" si="24"/>
        <v>0</v>
      </c>
      <c r="P51" s="302">
        <f>+O51</f>
        <v>0</v>
      </c>
    </row>
    <row r="52" spans="2:16" ht="15" outlineLevel="1" x14ac:dyDescent="0.25">
      <c r="B52" s="727" t="s">
        <v>315</v>
      </c>
      <c r="C52" s="300" t="s">
        <v>45</v>
      </c>
      <c r="D52" s="304">
        <f>D46*(D51)</f>
        <v>0</v>
      </c>
      <c r="E52" s="304">
        <f t="shared" ref="E52:O52" si="25">E46*(E51)</f>
        <v>0</v>
      </c>
      <c r="F52" s="304">
        <f t="shared" si="25"/>
        <v>0</v>
      </c>
      <c r="G52" s="304">
        <f t="shared" si="25"/>
        <v>0</v>
      </c>
      <c r="H52" s="304">
        <f t="shared" si="25"/>
        <v>0</v>
      </c>
      <c r="I52" s="304">
        <f t="shared" si="25"/>
        <v>0</v>
      </c>
      <c r="J52" s="304">
        <f t="shared" si="25"/>
        <v>0</v>
      </c>
      <c r="K52" s="304">
        <f t="shared" si="25"/>
        <v>0</v>
      </c>
      <c r="L52" s="304">
        <f t="shared" si="25"/>
        <v>0</v>
      </c>
      <c r="M52" s="304">
        <f t="shared" si="25"/>
        <v>0</v>
      </c>
      <c r="N52" s="304">
        <f t="shared" si="25"/>
        <v>0</v>
      </c>
      <c r="O52" s="304">
        <f t="shared" si="25"/>
        <v>0</v>
      </c>
      <c r="P52" s="305">
        <f>SUM(D52:O52)</f>
        <v>0</v>
      </c>
    </row>
    <row r="53" spans="2:16" ht="15" x14ac:dyDescent="0.25">
      <c r="B53" s="728" t="str">
        <f>+Ingresos!B44</f>
        <v>Ajo importado</v>
      </c>
      <c r="C53" s="294"/>
      <c r="D53" s="295"/>
      <c r="E53" s="295"/>
      <c r="F53" s="295"/>
      <c r="G53" s="295"/>
      <c r="H53" s="295"/>
      <c r="I53" s="295"/>
      <c r="J53" s="295"/>
      <c r="K53" s="295"/>
      <c r="L53" s="295"/>
      <c r="M53" s="295"/>
      <c r="N53" s="295"/>
      <c r="O53" s="295"/>
      <c r="P53" s="295"/>
    </row>
    <row r="54" spans="2:16" outlineLevel="1" x14ac:dyDescent="0.2">
      <c r="B54" s="726" t="s">
        <v>159</v>
      </c>
      <c r="C54" s="308" t="s">
        <v>372</v>
      </c>
      <c r="D54" s="297">
        <f>+Ingresos!C45</f>
        <v>31.94</v>
      </c>
      <c r="E54" s="297">
        <f>+Ingresos!D45</f>
        <v>31.94</v>
      </c>
      <c r="F54" s="297">
        <f>+Ingresos!E45</f>
        <v>31.94</v>
      </c>
      <c r="G54" s="297">
        <f>+Ingresos!F45</f>
        <v>31.94</v>
      </c>
      <c r="H54" s="297">
        <f>+Ingresos!G45</f>
        <v>31.94</v>
      </c>
      <c r="I54" s="297">
        <f>+Ingresos!H45</f>
        <v>31.94</v>
      </c>
      <c r="J54" s="297">
        <f>+Ingresos!I45</f>
        <v>31.94</v>
      </c>
      <c r="K54" s="297">
        <f>+Ingresos!J45</f>
        <v>31.94</v>
      </c>
      <c r="L54" s="297">
        <f>+Ingresos!K45</f>
        <v>31.94</v>
      </c>
      <c r="M54" s="297">
        <f>+Ingresos!L45</f>
        <v>31.94</v>
      </c>
      <c r="N54" s="297">
        <f>+Ingresos!M45</f>
        <v>31.94</v>
      </c>
      <c r="O54" s="297">
        <f>+Ingresos!N45</f>
        <v>31.94</v>
      </c>
      <c r="P54" s="298">
        <f>SUM(D54:O54)</f>
        <v>383.28000000000003</v>
      </c>
    </row>
    <row r="55" spans="2:16" outlineLevel="1" x14ac:dyDescent="0.2">
      <c r="B55" s="726" t="s">
        <v>309</v>
      </c>
      <c r="C55" s="300" t="s">
        <v>45</v>
      </c>
      <c r="D55" s="278">
        <f>Ingresos!C48*0.65</f>
        <v>4556.9290000000001</v>
      </c>
      <c r="E55" s="301">
        <f>+D55</f>
        <v>4556.9290000000001</v>
      </c>
      <c r="F55" s="301">
        <f t="shared" ref="F55:O55" si="26">+E55</f>
        <v>4556.9290000000001</v>
      </c>
      <c r="G55" s="301">
        <f t="shared" si="26"/>
        <v>4556.9290000000001</v>
      </c>
      <c r="H55" s="301">
        <f t="shared" si="26"/>
        <v>4556.9290000000001</v>
      </c>
      <c r="I55" s="301">
        <f t="shared" si="26"/>
        <v>4556.9290000000001</v>
      </c>
      <c r="J55" s="301">
        <f t="shared" si="26"/>
        <v>4556.9290000000001</v>
      </c>
      <c r="K55" s="301">
        <f t="shared" si="26"/>
        <v>4556.9290000000001</v>
      </c>
      <c r="L55" s="301">
        <f t="shared" si="26"/>
        <v>4556.9290000000001</v>
      </c>
      <c r="M55" s="301">
        <f t="shared" si="26"/>
        <v>4556.9290000000001</v>
      </c>
      <c r="N55" s="301">
        <f t="shared" si="26"/>
        <v>4556.9290000000001</v>
      </c>
      <c r="O55" s="301">
        <f t="shared" si="26"/>
        <v>4556.9290000000001</v>
      </c>
      <c r="P55" s="302">
        <f>+O55</f>
        <v>4556.9290000000001</v>
      </c>
    </row>
    <row r="56" spans="2:16" ht="15" outlineLevel="1" x14ac:dyDescent="0.25">
      <c r="B56" s="727" t="s">
        <v>315</v>
      </c>
      <c r="C56" s="300" t="s">
        <v>45</v>
      </c>
      <c r="D56" s="304">
        <f>D54*D55</f>
        <v>145548.31226000001</v>
      </c>
      <c r="E56" s="304">
        <f t="shared" ref="E56:O56" si="27">E54*E55</f>
        <v>145548.31226000001</v>
      </c>
      <c r="F56" s="304">
        <f t="shared" si="27"/>
        <v>145548.31226000001</v>
      </c>
      <c r="G56" s="304">
        <f t="shared" si="27"/>
        <v>145548.31226000001</v>
      </c>
      <c r="H56" s="304">
        <f t="shared" si="27"/>
        <v>145548.31226000001</v>
      </c>
      <c r="I56" s="304">
        <f t="shared" si="27"/>
        <v>145548.31226000001</v>
      </c>
      <c r="J56" s="304">
        <f t="shared" si="27"/>
        <v>145548.31226000001</v>
      </c>
      <c r="K56" s="304">
        <f t="shared" si="27"/>
        <v>145548.31226000001</v>
      </c>
      <c r="L56" s="304">
        <f t="shared" si="27"/>
        <v>145548.31226000001</v>
      </c>
      <c r="M56" s="304">
        <f t="shared" si="27"/>
        <v>145548.31226000001</v>
      </c>
      <c r="N56" s="304">
        <f t="shared" si="27"/>
        <v>145548.31226000001</v>
      </c>
      <c r="O56" s="304">
        <f t="shared" si="27"/>
        <v>145548.31226000001</v>
      </c>
      <c r="P56" s="305">
        <f>SUM(D56:O56)</f>
        <v>1746579.7471200002</v>
      </c>
    </row>
    <row r="57" spans="2:16" outlineLevel="1" x14ac:dyDescent="0.2">
      <c r="B57" s="726" t="s">
        <v>310</v>
      </c>
      <c r="C57" s="300" t="s">
        <v>45</v>
      </c>
      <c r="D57" s="278">
        <v>698.13</v>
      </c>
      <c r="E57" s="301">
        <f>+D57</f>
        <v>698.13</v>
      </c>
      <c r="F57" s="301">
        <f t="shared" ref="F57:O57" si="28">+E57</f>
        <v>698.13</v>
      </c>
      <c r="G57" s="301">
        <f t="shared" si="28"/>
        <v>698.13</v>
      </c>
      <c r="H57" s="301">
        <f t="shared" si="28"/>
        <v>698.13</v>
      </c>
      <c r="I57" s="301">
        <f t="shared" si="28"/>
        <v>698.13</v>
      </c>
      <c r="J57" s="301">
        <f t="shared" si="28"/>
        <v>698.13</v>
      </c>
      <c r="K57" s="301">
        <f t="shared" si="28"/>
        <v>698.13</v>
      </c>
      <c r="L57" s="301">
        <f t="shared" si="28"/>
        <v>698.13</v>
      </c>
      <c r="M57" s="301">
        <f t="shared" si="28"/>
        <v>698.13</v>
      </c>
      <c r="N57" s="301">
        <f t="shared" si="28"/>
        <v>698.13</v>
      </c>
      <c r="O57" s="301">
        <f t="shared" si="28"/>
        <v>698.13</v>
      </c>
      <c r="P57" s="302">
        <f>+O57</f>
        <v>698.13</v>
      </c>
    </row>
    <row r="58" spans="2:16" ht="15" outlineLevel="1" x14ac:dyDescent="0.25">
      <c r="B58" s="727" t="s">
        <v>315</v>
      </c>
      <c r="C58" s="300" t="s">
        <v>45</v>
      </c>
      <c r="D58" s="304">
        <f>D54*D57</f>
        <v>22298.272199999999</v>
      </c>
      <c r="E58" s="304">
        <f t="shared" ref="E58:O58" si="29">E54*E57</f>
        <v>22298.272199999999</v>
      </c>
      <c r="F58" s="304">
        <f t="shared" si="29"/>
        <v>22298.272199999999</v>
      </c>
      <c r="G58" s="304">
        <f t="shared" si="29"/>
        <v>22298.272199999999</v>
      </c>
      <c r="H58" s="304">
        <f t="shared" si="29"/>
        <v>22298.272199999999</v>
      </c>
      <c r="I58" s="304">
        <f t="shared" si="29"/>
        <v>22298.272199999999</v>
      </c>
      <c r="J58" s="304">
        <f t="shared" si="29"/>
        <v>22298.272199999999</v>
      </c>
      <c r="K58" s="304">
        <f t="shared" si="29"/>
        <v>22298.272199999999</v>
      </c>
      <c r="L58" s="304">
        <f t="shared" si="29"/>
        <v>22298.272199999999</v>
      </c>
      <c r="M58" s="304">
        <f t="shared" si="29"/>
        <v>22298.272199999999</v>
      </c>
      <c r="N58" s="304">
        <f t="shared" si="29"/>
        <v>22298.272199999999</v>
      </c>
      <c r="O58" s="304">
        <f t="shared" si="29"/>
        <v>22298.272199999999</v>
      </c>
      <c r="P58" s="305">
        <f>SUM(D58:O58)</f>
        <v>267579.26640000002</v>
      </c>
    </row>
    <row r="59" spans="2:16" outlineLevel="1" x14ac:dyDescent="0.2">
      <c r="B59" s="726" t="s">
        <v>311</v>
      </c>
      <c r="C59" s="300" t="s">
        <v>45</v>
      </c>
      <c r="D59" s="278"/>
      <c r="E59" s="301">
        <f>+D59</f>
        <v>0</v>
      </c>
      <c r="F59" s="301">
        <f t="shared" ref="F59:O59" si="30">+E59</f>
        <v>0</v>
      </c>
      <c r="G59" s="301">
        <f t="shared" si="30"/>
        <v>0</v>
      </c>
      <c r="H59" s="301">
        <f t="shared" si="30"/>
        <v>0</v>
      </c>
      <c r="I59" s="301">
        <f t="shared" si="30"/>
        <v>0</v>
      </c>
      <c r="J59" s="301">
        <f t="shared" si="30"/>
        <v>0</v>
      </c>
      <c r="K59" s="301">
        <f t="shared" si="30"/>
        <v>0</v>
      </c>
      <c r="L59" s="301">
        <f t="shared" si="30"/>
        <v>0</v>
      </c>
      <c r="M59" s="301">
        <f t="shared" si="30"/>
        <v>0</v>
      </c>
      <c r="N59" s="301">
        <f t="shared" si="30"/>
        <v>0</v>
      </c>
      <c r="O59" s="301">
        <f t="shared" si="30"/>
        <v>0</v>
      </c>
      <c r="P59" s="302">
        <f>+O59</f>
        <v>0</v>
      </c>
    </row>
    <row r="60" spans="2:16" ht="15" outlineLevel="1" x14ac:dyDescent="0.25">
      <c r="B60" s="727" t="s">
        <v>315</v>
      </c>
      <c r="C60" s="300" t="s">
        <v>45</v>
      </c>
      <c r="D60" s="304">
        <f>D54*(D59)</f>
        <v>0</v>
      </c>
      <c r="E60" s="304">
        <f t="shared" ref="E60:O60" si="31">E54*(E59)</f>
        <v>0</v>
      </c>
      <c r="F60" s="304">
        <f t="shared" si="31"/>
        <v>0</v>
      </c>
      <c r="G60" s="304">
        <f t="shared" si="31"/>
        <v>0</v>
      </c>
      <c r="H60" s="304">
        <f t="shared" si="31"/>
        <v>0</v>
      </c>
      <c r="I60" s="304">
        <f t="shared" si="31"/>
        <v>0</v>
      </c>
      <c r="J60" s="304">
        <f t="shared" si="31"/>
        <v>0</v>
      </c>
      <c r="K60" s="304">
        <f t="shared" si="31"/>
        <v>0</v>
      </c>
      <c r="L60" s="304">
        <f t="shared" si="31"/>
        <v>0</v>
      </c>
      <c r="M60" s="304">
        <f t="shared" si="31"/>
        <v>0</v>
      </c>
      <c r="N60" s="304">
        <f t="shared" si="31"/>
        <v>0</v>
      </c>
      <c r="O60" s="304">
        <f t="shared" si="31"/>
        <v>0</v>
      </c>
      <c r="P60" s="305">
        <f>SUM(D60:O60)</f>
        <v>0</v>
      </c>
    </row>
    <row r="61" spans="2:16" ht="15" x14ac:dyDescent="0.25">
      <c r="B61" s="293" t="str">
        <f>+Ingresos!B52</f>
        <v>Apio</v>
      </c>
      <c r="C61" s="294"/>
      <c r="D61" s="295"/>
      <c r="E61" s="295"/>
      <c r="F61" s="295"/>
      <c r="G61" s="295"/>
      <c r="H61" s="295"/>
      <c r="I61" s="295"/>
      <c r="J61" s="295"/>
      <c r="K61" s="295"/>
      <c r="L61" s="295"/>
      <c r="M61" s="295"/>
      <c r="N61" s="295"/>
      <c r="O61" s="295"/>
      <c r="P61" s="295"/>
    </row>
    <row r="62" spans="2:16" outlineLevel="1" x14ac:dyDescent="0.2">
      <c r="B62" s="726" t="s">
        <v>395</v>
      </c>
      <c r="C62" s="296" t="s">
        <v>372</v>
      </c>
      <c r="D62" s="297">
        <f>+Ingresos!C53</f>
        <v>130.66999999999999</v>
      </c>
      <c r="E62" s="297">
        <f>+Ingresos!D53</f>
        <v>130.66999999999999</v>
      </c>
      <c r="F62" s="297">
        <f>+Ingresos!E53</f>
        <v>130.66999999999999</v>
      </c>
      <c r="G62" s="297">
        <f>+Ingresos!F53</f>
        <v>130.66999999999999</v>
      </c>
      <c r="H62" s="297">
        <f>+Ingresos!G53</f>
        <v>130.66999999999999</v>
      </c>
      <c r="I62" s="297">
        <f>+Ingresos!H53</f>
        <v>130.66999999999999</v>
      </c>
      <c r="J62" s="297">
        <f>+Ingresos!I53</f>
        <v>130.66999999999999</v>
      </c>
      <c r="K62" s="297">
        <f>+Ingresos!J53</f>
        <v>130.66999999999999</v>
      </c>
      <c r="L62" s="297">
        <f>+Ingresos!K53</f>
        <v>130.66999999999999</v>
      </c>
      <c r="M62" s="297">
        <f>+Ingresos!L53</f>
        <v>130.66999999999999</v>
      </c>
      <c r="N62" s="297">
        <f>+Ingresos!M53</f>
        <v>130.66999999999999</v>
      </c>
      <c r="O62" s="297">
        <f>+Ingresos!N53</f>
        <v>130.66999999999999</v>
      </c>
      <c r="P62" s="298">
        <f>SUM(D62:O62)</f>
        <v>1568.0400000000002</v>
      </c>
    </row>
    <row r="63" spans="2:16" outlineLevel="1" x14ac:dyDescent="0.2">
      <c r="B63" s="726" t="s">
        <v>309</v>
      </c>
      <c r="C63" s="300" t="s">
        <v>45</v>
      </c>
      <c r="D63" s="278">
        <f>Ingresos!C56*0.65</f>
        <v>578.20100000000002</v>
      </c>
      <c r="E63" s="301">
        <f>+D63</f>
        <v>578.20100000000002</v>
      </c>
      <c r="F63" s="301">
        <f t="shared" ref="F63:O63" si="32">+E63</f>
        <v>578.20100000000002</v>
      </c>
      <c r="G63" s="301">
        <f t="shared" si="32"/>
        <v>578.20100000000002</v>
      </c>
      <c r="H63" s="301">
        <f t="shared" si="32"/>
        <v>578.20100000000002</v>
      </c>
      <c r="I63" s="301">
        <f t="shared" si="32"/>
        <v>578.20100000000002</v>
      </c>
      <c r="J63" s="301">
        <f t="shared" si="32"/>
        <v>578.20100000000002</v>
      </c>
      <c r="K63" s="301">
        <f t="shared" si="32"/>
        <v>578.20100000000002</v>
      </c>
      <c r="L63" s="301">
        <f t="shared" si="32"/>
        <v>578.20100000000002</v>
      </c>
      <c r="M63" s="301">
        <f t="shared" si="32"/>
        <v>578.20100000000002</v>
      </c>
      <c r="N63" s="301">
        <f t="shared" si="32"/>
        <v>578.20100000000002</v>
      </c>
      <c r="O63" s="301">
        <f t="shared" si="32"/>
        <v>578.20100000000002</v>
      </c>
      <c r="P63" s="302">
        <f>+O63</f>
        <v>578.20100000000002</v>
      </c>
    </row>
    <row r="64" spans="2:16" ht="15" outlineLevel="1" x14ac:dyDescent="0.25">
      <c r="B64" s="727" t="s">
        <v>315</v>
      </c>
      <c r="C64" s="300" t="s">
        <v>45</v>
      </c>
      <c r="D64" s="304">
        <f>D62*D63</f>
        <v>75553.524669999999</v>
      </c>
      <c r="E64" s="304">
        <f t="shared" ref="E64:O64" si="33">E62*E63</f>
        <v>75553.524669999999</v>
      </c>
      <c r="F64" s="304">
        <f t="shared" si="33"/>
        <v>75553.524669999999</v>
      </c>
      <c r="G64" s="304">
        <f t="shared" si="33"/>
        <v>75553.524669999999</v>
      </c>
      <c r="H64" s="304">
        <f t="shared" si="33"/>
        <v>75553.524669999999</v>
      </c>
      <c r="I64" s="304">
        <f t="shared" si="33"/>
        <v>75553.524669999999</v>
      </c>
      <c r="J64" s="304">
        <f t="shared" si="33"/>
        <v>75553.524669999999</v>
      </c>
      <c r="K64" s="304">
        <f t="shared" si="33"/>
        <v>75553.524669999999</v>
      </c>
      <c r="L64" s="304">
        <f t="shared" si="33"/>
        <v>75553.524669999999</v>
      </c>
      <c r="M64" s="304">
        <f t="shared" si="33"/>
        <v>75553.524669999999</v>
      </c>
      <c r="N64" s="304">
        <f t="shared" si="33"/>
        <v>75553.524669999999</v>
      </c>
      <c r="O64" s="304">
        <f t="shared" si="33"/>
        <v>75553.524669999999</v>
      </c>
      <c r="P64" s="305">
        <f>SUM(D64:O64)</f>
        <v>906642.29603999981</v>
      </c>
    </row>
    <row r="65" spans="2:16" outlineLevel="1" x14ac:dyDescent="0.2">
      <c r="B65" s="726" t="s">
        <v>310</v>
      </c>
      <c r="C65" s="300" t="s">
        <v>45</v>
      </c>
      <c r="D65" s="278">
        <v>18</v>
      </c>
      <c r="E65" s="301">
        <f>+D65</f>
        <v>18</v>
      </c>
      <c r="F65" s="301">
        <f t="shared" ref="F65:O65" si="34">+E65</f>
        <v>18</v>
      </c>
      <c r="G65" s="301">
        <f t="shared" si="34"/>
        <v>18</v>
      </c>
      <c r="H65" s="301">
        <f t="shared" si="34"/>
        <v>18</v>
      </c>
      <c r="I65" s="301">
        <f t="shared" si="34"/>
        <v>18</v>
      </c>
      <c r="J65" s="301">
        <f t="shared" si="34"/>
        <v>18</v>
      </c>
      <c r="K65" s="301">
        <f t="shared" si="34"/>
        <v>18</v>
      </c>
      <c r="L65" s="301">
        <f t="shared" si="34"/>
        <v>18</v>
      </c>
      <c r="M65" s="301">
        <f t="shared" si="34"/>
        <v>18</v>
      </c>
      <c r="N65" s="301">
        <f t="shared" si="34"/>
        <v>18</v>
      </c>
      <c r="O65" s="301">
        <f t="shared" si="34"/>
        <v>18</v>
      </c>
      <c r="P65" s="302">
        <f>+O65</f>
        <v>18</v>
      </c>
    </row>
    <row r="66" spans="2:16" ht="15" outlineLevel="1" x14ac:dyDescent="0.25">
      <c r="B66" s="727" t="s">
        <v>315</v>
      </c>
      <c r="C66" s="300" t="s">
        <v>45</v>
      </c>
      <c r="D66" s="304">
        <f>D62*D65</f>
        <v>2352.06</v>
      </c>
      <c r="E66" s="304">
        <f t="shared" ref="E66:O66" si="35">E62*E65</f>
        <v>2352.06</v>
      </c>
      <c r="F66" s="304">
        <f t="shared" si="35"/>
        <v>2352.06</v>
      </c>
      <c r="G66" s="304">
        <f t="shared" si="35"/>
        <v>2352.06</v>
      </c>
      <c r="H66" s="304">
        <f t="shared" si="35"/>
        <v>2352.06</v>
      </c>
      <c r="I66" s="304">
        <f t="shared" si="35"/>
        <v>2352.06</v>
      </c>
      <c r="J66" s="304">
        <f t="shared" si="35"/>
        <v>2352.06</v>
      </c>
      <c r="K66" s="304">
        <f t="shared" si="35"/>
        <v>2352.06</v>
      </c>
      <c r="L66" s="304">
        <f t="shared" si="35"/>
        <v>2352.06</v>
      </c>
      <c r="M66" s="304">
        <f t="shared" si="35"/>
        <v>2352.06</v>
      </c>
      <c r="N66" s="304">
        <f t="shared" si="35"/>
        <v>2352.06</v>
      </c>
      <c r="O66" s="304">
        <f t="shared" si="35"/>
        <v>2352.06</v>
      </c>
      <c r="P66" s="305">
        <f>SUM(D66:O66)</f>
        <v>28224.720000000005</v>
      </c>
    </row>
    <row r="67" spans="2:16" outlineLevel="1" x14ac:dyDescent="0.2">
      <c r="B67" s="726" t="s">
        <v>311</v>
      </c>
      <c r="C67" s="300" t="s">
        <v>45</v>
      </c>
      <c r="D67" s="278"/>
      <c r="E67" s="301">
        <f>+D67</f>
        <v>0</v>
      </c>
      <c r="F67" s="301">
        <f t="shared" ref="F67:O67" si="36">+E67</f>
        <v>0</v>
      </c>
      <c r="G67" s="301">
        <f t="shared" si="36"/>
        <v>0</v>
      </c>
      <c r="H67" s="301">
        <f t="shared" si="36"/>
        <v>0</v>
      </c>
      <c r="I67" s="301">
        <f t="shared" si="36"/>
        <v>0</v>
      </c>
      <c r="J67" s="301">
        <f t="shared" si="36"/>
        <v>0</v>
      </c>
      <c r="K67" s="301">
        <f t="shared" si="36"/>
        <v>0</v>
      </c>
      <c r="L67" s="301">
        <f t="shared" si="36"/>
        <v>0</v>
      </c>
      <c r="M67" s="301">
        <f t="shared" si="36"/>
        <v>0</v>
      </c>
      <c r="N67" s="301">
        <f t="shared" si="36"/>
        <v>0</v>
      </c>
      <c r="O67" s="301">
        <f t="shared" si="36"/>
        <v>0</v>
      </c>
      <c r="P67" s="302">
        <f>+O67</f>
        <v>0</v>
      </c>
    </row>
    <row r="68" spans="2:16" ht="15" outlineLevel="1" x14ac:dyDescent="0.25">
      <c r="B68" s="727" t="s">
        <v>315</v>
      </c>
      <c r="C68" s="300" t="s">
        <v>45</v>
      </c>
      <c r="D68" s="304">
        <f>D62*(D67)</f>
        <v>0</v>
      </c>
      <c r="E68" s="304">
        <f t="shared" ref="E68:O68" si="37">E62*(E67)</f>
        <v>0</v>
      </c>
      <c r="F68" s="304">
        <f t="shared" si="37"/>
        <v>0</v>
      </c>
      <c r="G68" s="304">
        <f t="shared" si="37"/>
        <v>0</v>
      </c>
      <c r="H68" s="304">
        <f t="shared" si="37"/>
        <v>0</v>
      </c>
      <c r="I68" s="304">
        <f t="shared" si="37"/>
        <v>0</v>
      </c>
      <c r="J68" s="304">
        <f t="shared" si="37"/>
        <v>0</v>
      </c>
      <c r="K68" s="304">
        <f t="shared" si="37"/>
        <v>0</v>
      </c>
      <c r="L68" s="304">
        <f t="shared" si="37"/>
        <v>0</v>
      </c>
      <c r="M68" s="304">
        <f t="shared" si="37"/>
        <v>0</v>
      </c>
      <c r="N68" s="304">
        <f t="shared" si="37"/>
        <v>0</v>
      </c>
      <c r="O68" s="304">
        <f t="shared" si="37"/>
        <v>0</v>
      </c>
      <c r="P68" s="305">
        <f>SUM(D68:O68)</f>
        <v>0</v>
      </c>
    </row>
    <row r="69" spans="2:16" ht="15" x14ac:dyDescent="0.25">
      <c r="B69" s="293" t="str">
        <f>+Ingresos!B60</f>
        <v>Arveja Verde</v>
      </c>
      <c r="C69" s="294"/>
      <c r="D69" s="295"/>
      <c r="E69" s="295"/>
      <c r="F69" s="295"/>
      <c r="G69" s="295"/>
      <c r="H69" s="295"/>
      <c r="I69" s="295"/>
      <c r="J69" s="295"/>
      <c r="K69" s="295"/>
      <c r="L69" s="295"/>
      <c r="M69" s="295"/>
      <c r="N69" s="295"/>
      <c r="O69" s="295"/>
      <c r="P69" s="295"/>
    </row>
    <row r="70" spans="2:16" x14ac:dyDescent="0.2">
      <c r="B70" s="726" t="s">
        <v>159</v>
      </c>
      <c r="C70" s="296" t="s">
        <v>372</v>
      </c>
      <c r="D70" s="297">
        <f>+Ingresos!C61</f>
        <v>653.35</v>
      </c>
      <c r="E70" s="297">
        <f>+Ingresos!D61</f>
        <v>653.35</v>
      </c>
      <c r="F70" s="297">
        <f>+Ingresos!E61</f>
        <v>653.35</v>
      </c>
      <c r="G70" s="297">
        <f>+Ingresos!F61</f>
        <v>653.35</v>
      </c>
      <c r="H70" s="297">
        <f>+Ingresos!G61</f>
        <v>653.35</v>
      </c>
      <c r="I70" s="297">
        <f>+Ingresos!H61</f>
        <v>653.35</v>
      </c>
      <c r="J70" s="297">
        <f>+Ingresos!I61</f>
        <v>653.35</v>
      </c>
      <c r="K70" s="297">
        <f>+Ingresos!J61</f>
        <v>653.35</v>
      </c>
      <c r="L70" s="297">
        <f>+Ingresos!K61</f>
        <v>653.35</v>
      </c>
      <c r="M70" s="297">
        <f>+Ingresos!L61</f>
        <v>653.35</v>
      </c>
      <c r="N70" s="297">
        <f>+Ingresos!M61</f>
        <v>653.35</v>
      </c>
      <c r="O70" s="297">
        <f>+Ingresos!N61</f>
        <v>653.35</v>
      </c>
      <c r="P70" s="298">
        <f>SUM(D70:O70)</f>
        <v>7840.2000000000016</v>
      </c>
    </row>
    <row r="71" spans="2:16" x14ac:dyDescent="0.2">
      <c r="B71" s="726" t="s">
        <v>309</v>
      </c>
      <c r="C71" s="300" t="s">
        <v>45</v>
      </c>
      <c r="D71" s="278">
        <f>Ingresos!C64*0.65</f>
        <v>3334.5</v>
      </c>
      <c r="E71" s="301">
        <f>+D71</f>
        <v>3334.5</v>
      </c>
      <c r="F71" s="301">
        <f t="shared" ref="F71:O71" si="38">+E71</f>
        <v>3334.5</v>
      </c>
      <c r="G71" s="301">
        <f t="shared" si="38"/>
        <v>3334.5</v>
      </c>
      <c r="H71" s="301">
        <f t="shared" si="38"/>
        <v>3334.5</v>
      </c>
      <c r="I71" s="301">
        <f t="shared" si="38"/>
        <v>3334.5</v>
      </c>
      <c r="J71" s="301">
        <f t="shared" si="38"/>
        <v>3334.5</v>
      </c>
      <c r="K71" s="301">
        <f t="shared" si="38"/>
        <v>3334.5</v>
      </c>
      <c r="L71" s="301">
        <f t="shared" si="38"/>
        <v>3334.5</v>
      </c>
      <c r="M71" s="301">
        <f t="shared" si="38"/>
        <v>3334.5</v>
      </c>
      <c r="N71" s="301">
        <f t="shared" si="38"/>
        <v>3334.5</v>
      </c>
      <c r="O71" s="301">
        <f t="shared" si="38"/>
        <v>3334.5</v>
      </c>
      <c r="P71" s="302">
        <f>+O71</f>
        <v>3334.5</v>
      </c>
    </row>
    <row r="72" spans="2:16" ht="15" x14ac:dyDescent="0.25">
      <c r="B72" s="727" t="s">
        <v>315</v>
      </c>
      <c r="C72" s="300" t="s">
        <v>45</v>
      </c>
      <c r="D72" s="304">
        <f>D70*D71</f>
        <v>2178595.5750000002</v>
      </c>
      <c r="E72" s="304">
        <f t="shared" ref="E72:O72" si="39">E70*E71</f>
        <v>2178595.5750000002</v>
      </c>
      <c r="F72" s="304">
        <f t="shared" si="39"/>
        <v>2178595.5750000002</v>
      </c>
      <c r="G72" s="304">
        <f t="shared" si="39"/>
        <v>2178595.5750000002</v>
      </c>
      <c r="H72" s="304">
        <f t="shared" si="39"/>
        <v>2178595.5750000002</v>
      </c>
      <c r="I72" s="304">
        <f t="shared" si="39"/>
        <v>2178595.5750000002</v>
      </c>
      <c r="J72" s="304">
        <f t="shared" si="39"/>
        <v>2178595.5750000002</v>
      </c>
      <c r="K72" s="304">
        <f t="shared" si="39"/>
        <v>2178595.5750000002</v>
      </c>
      <c r="L72" s="304">
        <f t="shared" si="39"/>
        <v>2178595.5750000002</v>
      </c>
      <c r="M72" s="304">
        <f t="shared" si="39"/>
        <v>2178595.5750000002</v>
      </c>
      <c r="N72" s="304">
        <f t="shared" si="39"/>
        <v>2178595.5750000002</v>
      </c>
      <c r="O72" s="304">
        <f t="shared" si="39"/>
        <v>2178595.5750000002</v>
      </c>
      <c r="P72" s="305">
        <f>SUM(D72:O72)</f>
        <v>26143146.899999995</v>
      </c>
    </row>
    <row r="73" spans="2:16" x14ac:dyDescent="0.2">
      <c r="B73" s="726" t="s">
        <v>310</v>
      </c>
      <c r="C73" s="300" t="s">
        <v>45</v>
      </c>
      <c r="D73" s="278">
        <v>489.16</v>
      </c>
      <c r="E73" s="301">
        <f>+D73</f>
        <v>489.16</v>
      </c>
      <c r="F73" s="301">
        <f t="shared" ref="F73:O73" si="40">+E73</f>
        <v>489.16</v>
      </c>
      <c r="G73" s="301">
        <f t="shared" si="40"/>
        <v>489.16</v>
      </c>
      <c r="H73" s="301">
        <f t="shared" si="40"/>
        <v>489.16</v>
      </c>
      <c r="I73" s="301">
        <f t="shared" si="40"/>
        <v>489.16</v>
      </c>
      <c r="J73" s="301">
        <f t="shared" si="40"/>
        <v>489.16</v>
      </c>
      <c r="K73" s="301">
        <f t="shared" si="40"/>
        <v>489.16</v>
      </c>
      <c r="L73" s="301">
        <f t="shared" si="40"/>
        <v>489.16</v>
      </c>
      <c r="M73" s="301">
        <f t="shared" si="40"/>
        <v>489.16</v>
      </c>
      <c r="N73" s="301">
        <f t="shared" si="40"/>
        <v>489.16</v>
      </c>
      <c r="O73" s="301">
        <f t="shared" si="40"/>
        <v>489.16</v>
      </c>
      <c r="P73" s="302">
        <f>+O73</f>
        <v>489.16</v>
      </c>
    </row>
    <row r="74" spans="2:16" ht="15" x14ac:dyDescent="0.25">
      <c r="B74" s="727" t="s">
        <v>315</v>
      </c>
      <c r="C74" s="300" t="s">
        <v>45</v>
      </c>
      <c r="D74" s="304">
        <f>D70*D73</f>
        <v>319592.68600000005</v>
      </c>
      <c r="E74" s="304">
        <f t="shared" ref="E74:O74" si="41">E70*E73</f>
        <v>319592.68600000005</v>
      </c>
      <c r="F74" s="304">
        <f t="shared" si="41"/>
        <v>319592.68600000005</v>
      </c>
      <c r="G74" s="304">
        <f t="shared" si="41"/>
        <v>319592.68600000005</v>
      </c>
      <c r="H74" s="304">
        <f t="shared" si="41"/>
        <v>319592.68600000005</v>
      </c>
      <c r="I74" s="304">
        <f t="shared" si="41"/>
        <v>319592.68600000005</v>
      </c>
      <c r="J74" s="304">
        <f t="shared" si="41"/>
        <v>319592.68600000005</v>
      </c>
      <c r="K74" s="304">
        <f t="shared" si="41"/>
        <v>319592.68600000005</v>
      </c>
      <c r="L74" s="304">
        <f t="shared" si="41"/>
        <v>319592.68600000005</v>
      </c>
      <c r="M74" s="304">
        <f t="shared" si="41"/>
        <v>319592.68600000005</v>
      </c>
      <c r="N74" s="304">
        <f t="shared" si="41"/>
        <v>319592.68600000005</v>
      </c>
      <c r="O74" s="304">
        <f t="shared" si="41"/>
        <v>319592.68600000005</v>
      </c>
      <c r="P74" s="305">
        <f>SUM(D74:O74)</f>
        <v>3835112.2320000012</v>
      </c>
    </row>
    <row r="75" spans="2:16" x14ac:dyDescent="0.2">
      <c r="B75" s="726" t="s">
        <v>311</v>
      </c>
      <c r="C75" s="300" t="s">
        <v>45</v>
      </c>
      <c r="D75" s="278"/>
      <c r="E75" s="301">
        <f>+D75</f>
        <v>0</v>
      </c>
      <c r="F75" s="301">
        <f t="shared" ref="F75:O75" si="42">+E75</f>
        <v>0</v>
      </c>
      <c r="G75" s="301">
        <f t="shared" si="42"/>
        <v>0</v>
      </c>
      <c r="H75" s="301">
        <f t="shared" si="42"/>
        <v>0</v>
      </c>
      <c r="I75" s="301">
        <f t="shared" si="42"/>
        <v>0</v>
      </c>
      <c r="J75" s="301">
        <f t="shared" si="42"/>
        <v>0</v>
      </c>
      <c r="K75" s="301">
        <f t="shared" si="42"/>
        <v>0</v>
      </c>
      <c r="L75" s="301">
        <f t="shared" si="42"/>
        <v>0</v>
      </c>
      <c r="M75" s="301">
        <f t="shared" si="42"/>
        <v>0</v>
      </c>
      <c r="N75" s="301">
        <f t="shared" si="42"/>
        <v>0</v>
      </c>
      <c r="O75" s="301">
        <f t="shared" si="42"/>
        <v>0</v>
      </c>
      <c r="P75" s="302">
        <f>+O75</f>
        <v>0</v>
      </c>
    </row>
    <row r="76" spans="2:16" ht="15" x14ac:dyDescent="0.25">
      <c r="B76" s="727" t="s">
        <v>315</v>
      </c>
      <c r="C76" s="300" t="s">
        <v>45</v>
      </c>
      <c r="D76" s="304">
        <f>D70*(D75)</f>
        <v>0</v>
      </c>
      <c r="E76" s="304">
        <f t="shared" ref="E76:O76" si="43">E70*(E75)</f>
        <v>0</v>
      </c>
      <c r="F76" s="304">
        <f t="shared" si="43"/>
        <v>0</v>
      </c>
      <c r="G76" s="304">
        <f t="shared" si="43"/>
        <v>0</v>
      </c>
      <c r="H76" s="304">
        <f t="shared" si="43"/>
        <v>0</v>
      </c>
      <c r="I76" s="304">
        <f t="shared" si="43"/>
        <v>0</v>
      </c>
      <c r="J76" s="304">
        <f t="shared" si="43"/>
        <v>0</v>
      </c>
      <c r="K76" s="304">
        <f t="shared" si="43"/>
        <v>0</v>
      </c>
      <c r="L76" s="304">
        <f t="shared" si="43"/>
        <v>0</v>
      </c>
      <c r="M76" s="304">
        <f t="shared" si="43"/>
        <v>0</v>
      </c>
      <c r="N76" s="304">
        <f t="shared" si="43"/>
        <v>0</v>
      </c>
      <c r="O76" s="304">
        <f t="shared" si="43"/>
        <v>0</v>
      </c>
      <c r="P76" s="305">
        <f>SUM(D76:O76)</f>
        <v>0</v>
      </c>
    </row>
    <row r="77" spans="2:16" ht="15" x14ac:dyDescent="0.25">
      <c r="B77" s="293" t="str">
        <f>+Ingresos!B68</f>
        <v>Brócoli</v>
      </c>
      <c r="C77" s="294"/>
      <c r="D77" s="295"/>
      <c r="E77" s="295"/>
      <c r="F77" s="295"/>
      <c r="G77" s="295"/>
      <c r="H77" s="295"/>
      <c r="I77" s="295"/>
      <c r="J77" s="295"/>
      <c r="K77" s="295"/>
      <c r="L77" s="295"/>
      <c r="M77" s="295"/>
      <c r="N77" s="295"/>
      <c r="O77" s="295"/>
      <c r="P77" s="295"/>
    </row>
    <row r="78" spans="2:16" x14ac:dyDescent="0.2">
      <c r="B78" s="726" t="s">
        <v>159</v>
      </c>
      <c r="C78" s="296" t="s">
        <v>372</v>
      </c>
      <c r="D78" s="297">
        <f>+Ingresos!C69</f>
        <v>18.149999999999999</v>
      </c>
      <c r="E78" s="297">
        <f>+Ingresos!D69</f>
        <v>18.149999999999999</v>
      </c>
      <c r="F78" s="297">
        <f>+Ingresos!E69</f>
        <v>18.149999999999999</v>
      </c>
      <c r="G78" s="297">
        <f>+Ingresos!F69</f>
        <v>18.149999999999999</v>
      </c>
      <c r="H78" s="297">
        <f>+Ingresos!G69</f>
        <v>18.149999999999999</v>
      </c>
      <c r="I78" s="297">
        <f>+Ingresos!H69</f>
        <v>18.149999999999999</v>
      </c>
      <c r="J78" s="297">
        <f>+Ingresos!I69</f>
        <v>18.149999999999999</v>
      </c>
      <c r="K78" s="297">
        <f>+Ingresos!J69</f>
        <v>18.149999999999999</v>
      </c>
      <c r="L78" s="297">
        <f>+Ingresos!K69</f>
        <v>18.149999999999999</v>
      </c>
      <c r="M78" s="297">
        <f>+Ingresos!L69</f>
        <v>18.149999999999999</v>
      </c>
      <c r="N78" s="297">
        <f>+Ingresos!M69</f>
        <v>18.149999999999999</v>
      </c>
      <c r="O78" s="297">
        <f>+Ingresos!N69</f>
        <v>18.149999999999999</v>
      </c>
      <c r="P78" s="298">
        <f>SUM(D78:O78)</f>
        <v>217.80000000000004</v>
      </c>
    </row>
    <row r="79" spans="2:16" x14ac:dyDescent="0.2">
      <c r="B79" s="726" t="s">
        <v>309</v>
      </c>
      <c r="C79" s="300" t="s">
        <v>45</v>
      </c>
      <c r="D79" s="278">
        <f>Ingresos!C72*0.65</f>
        <v>1044.9660000000001</v>
      </c>
      <c r="E79" s="301">
        <f>+D79</f>
        <v>1044.9660000000001</v>
      </c>
      <c r="F79" s="301">
        <f t="shared" ref="F79:O79" si="44">+E79</f>
        <v>1044.9660000000001</v>
      </c>
      <c r="G79" s="301">
        <f t="shared" si="44"/>
        <v>1044.9660000000001</v>
      </c>
      <c r="H79" s="301">
        <f t="shared" si="44"/>
        <v>1044.9660000000001</v>
      </c>
      <c r="I79" s="301">
        <f t="shared" si="44"/>
        <v>1044.9660000000001</v>
      </c>
      <c r="J79" s="301">
        <f t="shared" si="44"/>
        <v>1044.9660000000001</v>
      </c>
      <c r="K79" s="301">
        <f t="shared" si="44"/>
        <v>1044.9660000000001</v>
      </c>
      <c r="L79" s="301">
        <f t="shared" si="44"/>
        <v>1044.9660000000001</v>
      </c>
      <c r="M79" s="301">
        <f t="shared" si="44"/>
        <v>1044.9660000000001</v>
      </c>
      <c r="N79" s="301">
        <f t="shared" si="44"/>
        <v>1044.9660000000001</v>
      </c>
      <c r="O79" s="301">
        <f t="shared" si="44"/>
        <v>1044.9660000000001</v>
      </c>
      <c r="P79" s="302">
        <f>+O79</f>
        <v>1044.9660000000001</v>
      </c>
    </row>
    <row r="80" spans="2:16" ht="15" x14ac:dyDescent="0.25">
      <c r="B80" s="727" t="s">
        <v>315</v>
      </c>
      <c r="C80" s="300" t="s">
        <v>45</v>
      </c>
      <c r="D80" s="304">
        <f>D78*D79</f>
        <v>18966.132900000001</v>
      </c>
      <c r="E80" s="304">
        <f t="shared" ref="E80:O80" si="45">E78*E79</f>
        <v>18966.132900000001</v>
      </c>
      <c r="F80" s="304">
        <f t="shared" si="45"/>
        <v>18966.132900000001</v>
      </c>
      <c r="G80" s="304">
        <f t="shared" si="45"/>
        <v>18966.132900000001</v>
      </c>
      <c r="H80" s="304">
        <f t="shared" si="45"/>
        <v>18966.132900000001</v>
      </c>
      <c r="I80" s="304">
        <f t="shared" si="45"/>
        <v>18966.132900000001</v>
      </c>
      <c r="J80" s="304">
        <f t="shared" si="45"/>
        <v>18966.132900000001</v>
      </c>
      <c r="K80" s="304">
        <f t="shared" si="45"/>
        <v>18966.132900000001</v>
      </c>
      <c r="L80" s="304">
        <f t="shared" si="45"/>
        <v>18966.132900000001</v>
      </c>
      <c r="M80" s="304">
        <f t="shared" si="45"/>
        <v>18966.132900000001</v>
      </c>
      <c r="N80" s="304">
        <f t="shared" si="45"/>
        <v>18966.132900000001</v>
      </c>
      <c r="O80" s="304">
        <f t="shared" si="45"/>
        <v>18966.132900000001</v>
      </c>
      <c r="P80" s="305">
        <f>SUM(D80:O80)</f>
        <v>227593.59479999999</v>
      </c>
    </row>
    <row r="81" spans="2:16" x14ac:dyDescent="0.2">
      <c r="B81" s="726" t="s">
        <v>310</v>
      </c>
      <c r="C81" s="300" t="s">
        <v>45</v>
      </c>
      <c r="D81" s="278">
        <v>97.81</v>
      </c>
      <c r="E81" s="301">
        <f>+D81</f>
        <v>97.81</v>
      </c>
      <c r="F81" s="301">
        <f t="shared" ref="F81:O81" si="46">+E81</f>
        <v>97.81</v>
      </c>
      <c r="G81" s="301">
        <f t="shared" si="46"/>
        <v>97.81</v>
      </c>
      <c r="H81" s="301">
        <f t="shared" si="46"/>
        <v>97.81</v>
      </c>
      <c r="I81" s="301">
        <f t="shared" si="46"/>
        <v>97.81</v>
      </c>
      <c r="J81" s="301">
        <f t="shared" si="46"/>
        <v>97.81</v>
      </c>
      <c r="K81" s="301">
        <f t="shared" si="46"/>
        <v>97.81</v>
      </c>
      <c r="L81" s="301">
        <f t="shared" si="46"/>
        <v>97.81</v>
      </c>
      <c r="M81" s="301">
        <f t="shared" si="46"/>
        <v>97.81</v>
      </c>
      <c r="N81" s="301">
        <f t="shared" si="46"/>
        <v>97.81</v>
      </c>
      <c r="O81" s="301">
        <f t="shared" si="46"/>
        <v>97.81</v>
      </c>
      <c r="P81" s="302">
        <f>+O81</f>
        <v>97.81</v>
      </c>
    </row>
    <row r="82" spans="2:16" ht="15" x14ac:dyDescent="0.25">
      <c r="B82" s="727" t="s">
        <v>315</v>
      </c>
      <c r="C82" s="300" t="s">
        <v>45</v>
      </c>
      <c r="D82" s="304">
        <f>D78*D81</f>
        <v>1775.2514999999999</v>
      </c>
      <c r="E82" s="304">
        <f t="shared" ref="E82:O82" si="47">E78*E81</f>
        <v>1775.2514999999999</v>
      </c>
      <c r="F82" s="304">
        <f t="shared" si="47"/>
        <v>1775.2514999999999</v>
      </c>
      <c r="G82" s="304">
        <f t="shared" si="47"/>
        <v>1775.2514999999999</v>
      </c>
      <c r="H82" s="304">
        <f t="shared" si="47"/>
        <v>1775.2514999999999</v>
      </c>
      <c r="I82" s="304">
        <f t="shared" si="47"/>
        <v>1775.2514999999999</v>
      </c>
      <c r="J82" s="304">
        <f t="shared" si="47"/>
        <v>1775.2514999999999</v>
      </c>
      <c r="K82" s="304">
        <f t="shared" si="47"/>
        <v>1775.2514999999999</v>
      </c>
      <c r="L82" s="304">
        <f t="shared" si="47"/>
        <v>1775.2514999999999</v>
      </c>
      <c r="M82" s="304">
        <f t="shared" si="47"/>
        <v>1775.2514999999999</v>
      </c>
      <c r="N82" s="304">
        <f t="shared" si="47"/>
        <v>1775.2514999999999</v>
      </c>
      <c r="O82" s="304">
        <f t="shared" si="47"/>
        <v>1775.2514999999999</v>
      </c>
      <c r="P82" s="305">
        <f>SUM(D82:O82)</f>
        <v>21303.017999999996</v>
      </c>
    </row>
    <row r="83" spans="2:16" x14ac:dyDescent="0.2">
      <c r="B83" s="726" t="s">
        <v>311</v>
      </c>
      <c r="C83" s="300" t="s">
        <v>45</v>
      </c>
      <c r="D83" s="278"/>
      <c r="E83" s="301">
        <f>+D83</f>
        <v>0</v>
      </c>
      <c r="F83" s="301">
        <f t="shared" ref="F83:O83" si="48">+E83</f>
        <v>0</v>
      </c>
      <c r="G83" s="301">
        <f t="shared" si="48"/>
        <v>0</v>
      </c>
      <c r="H83" s="301">
        <f t="shared" si="48"/>
        <v>0</v>
      </c>
      <c r="I83" s="301">
        <f t="shared" si="48"/>
        <v>0</v>
      </c>
      <c r="J83" s="301">
        <f t="shared" si="48"/>
        <v>0</v>
      </c>
      <c r="K83" s="301">
        <f t="shared" si="48"/>
        <v>0</v>
      </c>
      <c r="L83" s="301">
        <f t="shared" si="48"/>
        <v>0</v>
      </c>
      <c r="M83" s="301">
        <f t="shared" si="48"/>
        <v>0</v>
      </c>
      <c r="N83" s="301">
        <f t="shared" si="48"/>
        <v>0</v>
      </c>
      <c r="O83" s="301">
        <f t="shared" si="48"/>
        <v>0</v>
      </c>
      <c r="P83" s="302">
        <f>+O83</f>
        <v>0</v>
      </c>
    </row>
    <row r="84" spans="2:16" ht="15" x14ac:dyDescent="0.25">
      <c r="B84" s="727" t="s">
        <v>315</v>
      </c>
      <c r="C84" s="300" t="s">
        <v>45</v>
      </c>
      <c r="D84" s="304">
        <f>D78*(D83)</f>
        <v>0</v>
      </c>
      <c r="E84" s="304">
        <f t="shared" ref="E84:O84" si="49">E78*(E83)</f>
        <v>0</v>
      </c>
      <c r="F84" s="304">
        <f t="shared" si="49"/>
        <v>0</v>
      </c>
      <c r="G84" s="304">
        <f t="shared" si="49"/>
        <v>0</v>
      </c>
      <c r="H84" s="304">
        <f t="shared" si="49"/>
        <v>0</v>
      </c>
      <c r="I84" s="304">
        <f t="shared" si="49"/>
        <v>0</v>
      </c>
      <c r="J84" s="304">
        <f t="shared" si="49"/>
        <v>0</v>
      </c>
      <c r="K84" s="304">
        <f t="shared" si="49"/>
        <v>0</v>
      </c>
      <c r="L84" s="304">
        <f t="shared" si="49"/>
        <v>0</v>
      </c>
      <c r="M84" s="304">
        <f t="shared" si="49"/>
        <v>0</v>
      </c>
      <c r="N84" s="304">
        <f t="shared" si="49"/>
        <v>0</v>
      </c>
      <c r="O84" s="304">
        <f t="shared" si="49"/>
        <v>0</v>
      </c>
      <c r="P84" s="305">
        <f>SUM(D84:O84)</f>
        <v>0</v>
      </c>
    </row>
    <row r="85" spans="2:16" ht="15" x14ac:dyDescent="0.25">
      <c r="B85" s="293" t="str">
        <f>+Ingresos!B76</f>
        <v>Cebolla Blanca</v>
      </c>
      <c r="C85" s="294"/>
      <c r="D85" s="295"/>
      <c r="E85" s="295"/>
      <c r="F85" s="295"/>
      <c r="G85" s="295"/>
      <c r="H85" s="295"/>
      <c r="I85" s="295"/>
      <c r="J85" s="295"/>
      <c r="K85" s="295"/>
      <c r="L85" s="295"/>
      <c r="M85" s="295"/>
      <c r="N85" s="295"/>
      <c r="O85" s="295"/>
      <c r="P85" s="295"/>
    </row>
    <row r="86" spans="2:16" x14ac:dyDescent="0.2">
      <c r="B86" s="726" t="s">
        <v>159</v>
      </c>
      <c r="C86" s="296" t="s">
        <v>372</v>
      </c>
      <c r="D86" s="297">
        <f>+Ingresos!C77</f>
        <v>631.58000000000004</v>
      </c>
      <c r="E86" s="297">
        <f>+Ingresos!D77</f>
        <v>631.58000000000004</v>
      </c>
      <c r="F86" s="297">
        <f>+Ingresos!E77</f>
        <v>631.58000000000004</v>
      </c>
      <c r="G86" s="297">
        <f>+Ingresos!F77</f>
        <v>631.58000000000004</v>
      </c>
      <c r="H86" s="297">
        <f>+Ingresos!G77</f>
        <v>631.58000000000004</v>
      </c>
      <c r="I86" s="297">
        <f>+Ingresos!H77</f>
        <v>631.58000000000004</v>
      </c>
      <c r="J86" s="297">
        <f>+Ingresos!I77</f>
        <v>631.58000000000004</v>
      </c>
      <c r="K86" s="297">
        <f>+Ingresos!J77</f>
        <v>631.58000000000004</v>
      </c>
      <c r="L86" s="297">
        <f>+Ingresos!K77</f>
        <v>631.58000000000004</v>
      </c>
      <c r="M86" s="297">
        <f>+Ingresos!L77</f>
        <v>631.58000000000004</v>
      </c>
      <c r="N86" s="297">
        <f>+Ingresos!M77</f>
        <v>631.58000000000004</v>
      </c>
      <c r="O86" s="297">
        <f>+Ingresos!N77</f>
        <v>631.58000000000004</v>
      </c>
      <c r="P86" s="298">
        <f>SUM(D86:O86)</f>
        <v>7578.96</v>
      </c>
    </row>
    <row r="87" spans="2:16" x14ac:dyDescent="0.2">
      <c r="B87" s="726" t="s">
        <v>309</v>
      </c>
      <c r="C87" s="300" t="s">
        <v>45</v>
      </c>
      <c r="D87" s="278">
        <f>Ingresos!C80*0.65</f>
        <v>1667.25</v>
      </c>
      <c r="E87" s="301">
        <f>+D87</f>
        <v>1667.25</v>
      </c>
      <c r="F87" s="301">
        <f t="shared" ref="F87:O87" si="50">+E87</f>
        <v>1667.25</v>
      </c>
      <c r="G87" s="301">
        <f t="shared" si="50"/>
        <v>1667.25</v>
      </c>
      <c r="H87" s="301">
        <f t="shared" si="50"/>
        <v>1667.25</v>
      </c>
      <c r="I87" s="301">
        <f t="shared" si="50"/>
        <v>1667.25</v>
      </c>
      <c r="J87" s="301">
        <f t="shared" si="50"/>
        <v>1667.25</v>
      </c>
      <c r="K87" s="301">
        <f t="shared" si="50"/>
        <v>1667.25</v>
      </c>
      <c r="L87" s="301">
        <f t="shared" si="50"/>
        <v>1667.25</v>
      </c>
      <c r="M87" s="301">
        <f t="shared" si="50"/>
        <v>1667.25</v>
      </c>
      <c r="N87" s="301">
        <f t="shared" si="50"/>
        <v>1667.25</v>
      </c>
      <c r="O87" s="301">
        <f t="shared" si="50"/>
        <v>1667.25</v>
      </c>
      <c r="P87" s="302">
        <f>+O87</f>
        <v>1667.25</v>
      </c>
    </row>
    <row r="88" spans="2:16" ht="15" x14ac:dyDescent="0.25">
      <c r="B88" s="727" t="s">
        <v>315</v>
      </c>
      <c r="C88" s="300" t="s">
        <v>45</v>
      </c>
      <c r="D88" s="304">
        <f>D86*D87</f>
        <v>1053001.7550000001</v>
      </c>
      <c r="E88" s="304">
        <f t="shared" ref="E88:O88" si="51">E86*E87</f>
        <v>1053001.7550000001</v>
      </c>
      <c r="F88" s="304">
        <f t="shared" si="51"/>
        <v>1053001.7550000001</v>
      </c>
      <c r="G88" s="304">
        <f t="shared" si="51"/>
        <v>1053001.7550000001</v>
      </c>
      <c r="H88" s="304">
        <f t="shared" si="51"/>
        <v>1053001.7550000001</v>
      </c>
      <c r="I88" s="304">
        <f t="shared" si="51"/>
        <v>1053001.7550000001</v>
      </c>
      <c r="J88" s="304">
        <f t="shared" si="51"/>
        <v>1053001.7550000001</v>
      </c>
      <c r="K88" s="304">
        <f t="shared" si="51"/>
        <v>1053001.7550000001</v>
      </c>
      <c r="L88" s="304">
        <f t="shared" si="51"/>
        <v>1053001.7550000001</v>
      </c>
      <c r="M88" s="304">
        <f t="shared" si="51"/>
        <v>1053001.7550000001</v>
      </c>
      <c r="N88" s="304">
        <f t="shared" si="51"/>
        <v>1053001.7550000001</v>
      </c>
      <c r="O88" s="304">
        <f t="shared" si="51"/>
        <v>1053001.7550000001</v>
      </c>
      <c r="P88" s="305">
        <f>SUM(D88:O88)</f>
        <v>12636021.060000004</v>
      </c>
    </row>
    <row r="89" spans="2:16" x14ac:dyDescent="0.2">
      <c r="B89" s="726" t="s">
        <v>310</v>
      </c>
      <c r="C89" s="300" t="s">
        <v>45</v>
      </c>
      <c r="D89" s="278">
        <v>204.16</v>
      </c>
      <c r="E89" s="301">
        <f>+D89</f>
        <v>204.16</v>
      </c>
      <c r="F89" s="301">
        <f t="shared" ref="F89:O89" si="52">+E89</f>
        <v>204.16</v>
      </c>
      <c r="G89" s="301">
        <f t="shared" si="52"/>
        <v>204.16</v>
      </c>
      <c r="H89" s="301">
        <f t="shared" si="52"/>
        <v>204.16</v>
      </c>
      <c r="I89" s="301">
        <f t="shared" si="52"/>
        <v>204.16</v>
      </c>
      <c r="J89" s="301">
        <f t="shared" si="52"/>
        <v>204.16</v>
      </c>
      <c r="K89" s="301">
        <f t="shared" si="52"/>
        <v>204.16</v>
      </c>
      <c r="L89" s="301">
        <f t="shared" si="52"/>
        <v>204.16</v>
      </c>
      <c r="M89" s="301">
        <f t="shared" si="52"/>
        <v>204.16</v>
      </c>
      <c r="N89" s="301">
        <f t="shared" si="52"/>
        <v>204.16</v>
      </c>
      <c r="O89" s="301">
        <f t="shared" si="52"/>
        <v>204.16</v>
      </c>
      <c r="P89" s="302">
        <f>+O89</f>
        <v>204.16</v>
      </c>
    </row>
    <row r="90" spans="2:16" ht="15" x14ac:dyDescent="0.25">
      <c r="B90" s="727" t="s">
        <v>315</v>
      </c>
      <c r="C90" s="300" t="s">
        <v>45</v>
      </c>
      <c r="D90" s="304">
        <f>D86*D89</f>
        <v>128943.37280000001</v>
      </c>
      <c r="E90" s="304">
        <f t="shared" ref="E90:O90" si="53">E86*E89</f>
        <v>128943.37280000001</v>
      </c>
      <c r="F90" s="304">
        <f t="shared" si="53"/>
        <v>128943.37280000001</v>
      </c>
      <c r="G90" s="304">
        <f t="shared" si="53"/>
        <v>128943.37280000001</v>
      </c>
      <c r="H90" s="304">
        <f t="shared" si="53"/>
        <v>128943.37280000001</v>
      </c>
      <c r="I90" s="304">
        <f t="shared" si="53"/>
        <v>128943.37280000001</v>
      </c>
      <c r="J90" s="304">
        <f t="shared" si="53"/>
        <v>128943.37280000001</v>
      </c>
      <c r="K90" s="304">
        <f t="shared" si="53"/>
        <v>128943.37280000001</v>
      </c>
      <c r="L90" s="304">
        <f t="shared" si="53"/>
        <v>128943.37280000001</v>
      </c>
      <c r="M90" s="304">
        <f t="shared" si="53"/>
        <v>128943.37280000001</v>
      </c>
      <c r="N90" s="304">
        <f t="shared" si="53"/>
        <v>128943.37280000001</v>
      </c>
      <c r="O90" s="304">
        <f t="shared" si="53"/>
        <v>128943.37280000001</v>
      </c>
      <c r="P90" s="305">
        <f>SUM(D90:O90)</f>
        <v>1547320.4736000001</v>
      </c>
    </row>
    <row r="91" spans="2:16" x14ac:dyDescent="0.2">
      <c r="B91" s="726" t="s">
        <v>311</v>
      </c>
      <c r="C91" s="300" t="s">
        <v>45</v>
      </c>
      <c r="D91" s="278"/>
      <c r="E91" s="301">
        <f>+D91</f>
        <v>0</v>
      </c>
      <c r="F91" s="301">
        <f t="shared" ref="F91:O91" si="54">+E91</f>
        <v>0</v>
      </c>
      <c r="G91" s="301">
        <f t="shared" si="54"/>
        <v>0</v>
      </c>
      <c r="H91" s="301">
        <f t="shared" si="54"/>
        <v>0</v>
      </c>
      <c r="I91" s="301">
        <f t="shared" si="54"/>
        <v>0</v>
      </c>
      <c r="J91" s="301">
        <f t="shared" si="54"/>
        <v>0</v>
      </c>
      <c r="K91" s="301">
        <f t="shared" si="54"/>
        <v>0</v>
      </c>
      <c r="L91" s="301">
        <f t="shared" si="54"/>
        <v>0</v>
      </c>
      <c r="M91" s="301">
        <f t="shared" si="54"/>
        <v>0</v>
      </c>
      <c r="N91" s="301">
        <f t="shared" si="54"/>
        <v>0</v>
      </c>
      <c r="O91" s="301">
        <f t="shared" si="54"/>
        <v>0</v>
      </c>
      <c r="P91" s="302">
        <f>+O91</f>
        <v>0</v>
      </c>
    </row>
    <row r="92" spans="2:16" ht="15" x14ac:dyDescent="0.25">
      <c r="B92" s="727" t="s">
        <v>315</v>
      </c>
      <c r="C92" s="300" t="s">
        <v>45</v>
      </c>
      <c r="D92" s="304">
        <f>D86*(D91)</f>
        <v>0</v>
      </c>
      <c r="E92" s="304">
        <f t="shared" ref="E92:O92" si="55">E86*(E91)</f>
        <v>0</v>
      </c>
      <c r="F92" s="304">
        <f t="shared" si="55"/>
        <v>0</v>
      </c>
      <c r="G92" s="304">
        <f t="shared" si="55"/>
        <v>0</v>
      </c>
      <c r="H92" s="304">
        <f t="shared" si="55"/>
        <v>0</v>
      </c>
      <c r="I92" s="304">
        <f t="shared" si="55"/>
        <v>0</v>
      </c>
      <c r="J92" s="304">
        <f t="shared" si="55"/>
        <v>0</v>
      </c>
      <c r="K92" s="304">
        <f t="shared" si="55"/>
        <v>0</v>
      </c>
      <c r="L92" s="304">
        <f t="shared" si="55"/>
        <v>0</v>
      </c>
      <c r="M92" s="304">
        <f t="shared" si="55"/>
        <v>0</v>
      </c>
      <c r="N92" s="304">
        <f t="shared" si="55"/>
        <v>0</v>
      </c>
      <c r="O92" s="304">
        <f t="shared" si="55"/>
        <v>0</v>
      </c>
      <c r="P92" s="305">
        <f>SUM(D92:O92)</f>
        <v>0</v>
      </c>
    </row>
    <row r="93" spans="2:16" ht="15" x14ac:dyDescent="0.25">
      <c r="B93" s="293" t="str">
        <f>+Ingresos!B84</f>
        <v>Cebolla Junca</v>
      </c>
      <c r="C93" s="294"/>
      <c r="D93" s="295"/>
      <c r="E93" s="295"/>
      <c r="F93" s="295"/>
      <c r="G93" s="295"/>
      <c r="H93" s="295"/>
      <c r="I93" s="295"/>
      <c r="J93" s="295"/>
      <c r="K93" s="295"/>
      <c r="L93" s="295"/>
      <c r="M93" s="295"/>
      <c r="N93" s="295"/>
      <c r="O93" s="295"/>
      <c r="P93" s="295"/>
    </row>
    <row r="94" spans="2:16" x14ac:dyDescent="0.2">
      <c r="B94" s="726" t="s">
        <v>159</v>
      </c>
      <c r="C94" s="296" t="s">
        <v>372</v>
      </c>
      <c r="D94" s="297">
        <f>+Ingresos!C85</f>
        <v>900.32</v>
      </c>
      <c r="E94" s="297">
        <f>+Ingresos!D85</f>
        <v>900.32</v>
      </c>
      <c r="F94" s="297">
        <f>+Ingresos!E85</f>
        <v>900.32</v>
      </c>
      <c r="G94" s="297">
        <f>+Ingresos!F85</f>
        <v>900.32</v>
      </c>
      <c r="H94" s="297">
        <f>+Ingresos!G85</f>
        <v>900.32</v>
      </c>
      <c r="I94" s="297">
        <f>+Ingresos!H85</f>
        <v>900.32</v>
      </c>
      <c r="J94" s="297">
        <f>+Ingresos!I85</f>
        <v>900.32</v>
      </c>
      <c r="K94" s="297">
        <f>+Ingresos!J85</f>
        <v>900.32</v>
      </c>
      <c r="L94" s="297">
        <f>+Ingresos!K85</f>
        <v>900.32</v>
      </c>
      <c r="M94" s="297">
        <f>+Ingresos!L85</f>
        <v>900.32</v>
      </c>
      <c r="N94" s="297">
        <f>+Ingresos!M85</f>
        <v>900.32</v>
      </c>
      <c r="O94" s="297">
        <f>+Ingresos!N85</f>
        <v>900.32</v>
      </c>
      <c r="P94" s="298">
        <f>SUM(D94:O94)</f>
        <v>10803.839999999998</v>
      </c>
    </row>
    <row r="95" spans="2:16" x14ac:dyDescent="0.2">
      <c r="B95" s="726" t="s">
        <v>309</v>
      </c>
      <c r="C95" s="300" t="s">
        <v>45</v>
      </c>
      <c r="D95" s="278">
        <f>Ingresos!C88*0.65</f>
        <v>866.97</v>
      </c>
      <c r="E95" s="301">
        <f>+D95</f>
        <v>866.97</v>
      </c>
      <c r="F95" s="301">
        <f t="shared" ref="F95:O95" si="56">+E95</f>
        <v>866.97</v>
      </c>
      <c r="G95" s="301">
        <f t="shared" si="56"/>
        <v>866.97</v>
      </c>
      <c r="H95" s="301">
        <f t="shared" si="56"/>
        <v>866.97</v>
      </c>
      <c r="I95" s="301">
        <f t="shared" si="56"/>
        <v>866.97</v>
      </c>
      <c r="J95" s="301">
        <f t="shared" si="56"/>
        <v>866.97</v>
      </c>
      <c r="K95" s="301">
        <f t="shared" si="56"/>
        <v>866.97</v>
      </c>
      <c r="L95" s="301">
        <f t="shared" si="56"/>
        <v>866.97</v>
      </c>
      <c r="M95" s="301">
        <f t="shared" si="56"/>
        <v>866.97</v>
      </c>
      <c r="N95" s="301">
        <f t="shared" si="56"/>
        <v>866.97</v>
      </c>
      <c r="O95" s="301">
        <f t="shared" si="56"/>
        <v>866.97</v>
      </c>
      <c r="P95" s="302">
        <f>+O95</f>
        <v>866.97</v>
      </c>
    </row>
    <row r="96" spans="2:16" ht="15" x14ac:dyDescent="0.25">
      <c r="B96" s="727" t="s">
        <v>315</v>
      </c>
      <c r="C96" s="300" t="s">
        <v>45</v>
      </c>
      <c r="D96" s="304">
        <f>D94*D95</f>
        <v>780550.43040000007</v>
      </c>
      <c r="E96" s="304">
        <f t="shared" ref="E96:O96" si="57">E94*E95</f>
        <v>780550.43040000007</v>
      </c>
      <c r="F96" s="304">
        <f t="shared" si="57"/>
        <v>780550.43040000007</v>
      </c>
      <c r="G96" s="304">
        <f t="shared" si="57"/>
        <v>780550.43040000007</v>
      </c>
      <c r="H96" s="304">
        <f t="shared" si="57"/>
        <v>780550.43040000007</v>
      </c>
      <c r="I96" s="304">
        <f t="shared" si="57"/>
        <v>780550.43040000007</v>
      </c>
      <c r="J96" s="304">
        <f t="shared" si="57"/>
        <v>780550.43040000007</v>
      </c>
      <c r="K96" s="304">
        <f t="shared" si="57"/>
        <v>780550.43040000007</v>
      </c>
      <c r="L96" s="304">
        <f t="shared" si="57"/>
        <v>780550.43040000007</v>
      </c>
      <c r="M96" s="304">
        <f t="shared" si="57"/>
        <v>780550.43040000007</v>
      </c>
      <c r="N96" s="304">
        <f t="shared" si="57"/>
        <v>780550.43040000007</v>
      </c>
      <c r="O96" s="304">
        <f t="shared" si="57"/>
        <v>780550.43040000007</v>
      </c>
      <c r="P96" s="305">
        <f>SUM(D96:O96)</f>
        <v>9366605.1648000013</v>
      </c>
    </row>
    <row r="97" spans="2:16" x14ac:dyDescent="0.2">
      <c r="B97" s="726" t="s">
        <v>310</v>
      </c>
      <c r="C97" s="300" t="s">
        <v>45</v>
      </c>
      <c r="D97" s="278">
        <v>67.400000000000006</v>
      </c>
      <c r="E97" s="301">
        <f>+D97</f>
        <v>67.400000000000006</v>
      </c>
      <c r="F97" s="301">
        <f t="shared" ref="F97:O97" si="58">+E97</f>
        <v>67.400000000000006</v>
      </c>
      <c r="G97" s="301">
        <f t="shared" si="58"/>
        <v>67.400000000000006</v>
      </c>
      <c r="H97" s="301">
        <f t="shared" si="58"/>
        <v>67.400000000000006</v>
      </c>
      <c r="I97" s="301">
        <f t="shared" si="58"/>
        <v>67.400000000000006</v>
      </c>
      <c r="J97" s="301">
        <f t="shared" si="58"/>
        <v>67.400000000000006</v>
      </c>
      <c r="K97" s="301">
        <f t="shared" si="58"/>
        <v>67.400000000000006</v>
      </c>
      <c r="L97" s="301">
        <f t="shared" si="58"/>
        <v>67.400000000000006</v>
      </c>
      <c r="M97" s="301">
        <f t="shared" si="58"/>
        <v>67.400000000000006</v>
      </c>
      <c r="N97" s="301">
        <f t="shared" si="58"/>
        <v>67.400000000000006</v>
      </c>
      <c r="O97" s="301">
        <f t="shared" si="58"/>
        <v>67.400000000000006</v>
      </c>
      <c r="P97" s="302">
        <f>+O97</f>
        <v>67.400000000000006</v>
      </c>
    </row>
    <row r="98" spans="2:16" ht="15" x14ac:dyDescent="0.25">
      <c r="B98" s="727" t="s">
        <v>315</v>
      </c>
      <c r="C98" s="300" t="s">
        <v>45</v>
      </c>
      <c r="D98" s="304">
        <f>D94*D97</f>
        <v>60681.568000000007</v>
      </c>
      <c r="E98" s="304">
        <f t="shared" ref="E98:O98" si="59">E94*E97</f>
        <v>60681.568000000007</v>
      </c>
      <c r="F98" s="304">
        <f t="shared" si="59"/>
        <v>60681.568000000007</v>
      </c>
      <c r="G98" s="304">
        <f t="shared" si="59"/>
        <v>60681.568000000007</v>
      </c>
      <c r="H98" s="304">
        <f t="shared" si="59"/>
        <v>60681.568000000007</v>
      </c>
      <c r="I98" s="304">
        <f t="shared" si="59"/>
        <v>60681.568000000007</v>
      </c>
      <c r="J98" s="304">
        <f t="shared" si="59"/>
        <v>60681.568000000007</v>
      </c>
      <c r="K98" s="304">
        <f t="shared" si="59"/>
        <v>60681.568000000007</v>
      </c>
      <c r="L98" s="304">
        <f t="shared" si="59"/>
        <v>60681.568000000007</v>
      </c>
      <c r="M98" s="304">
        <f t="shared" si="59"/>
        <v>60681.568000000007</v>
      </c>
      <c r="N98" s="304">
        <f t="shared" si="59"/>
        <v>60681.568000000007</v>
      </c>
      <c r="O98" s="304">
        <f t="shared" si="59"/>
        <v>60681.568000000007</v>
      </c>
      <c r="P98" s="305">
        <f>SUM(D98:O98)</f>
        <v>728178.81599999999</v>
      </c>
    </row>
    <row r="99" spans="2:16" x14ac:dyDescent="0.2">
      <c r="B99" s="726" t="s">
        <v>311</v>
      </c>
      <c r="C99" s="300" t="s">
        <v>45</v>
      </c>
      <c r="D99" s="278"/>
      <c r="E99" s="301">
        <f>+D99</f>
        <v>0</v>
      </c>
      <c r="F99" s="301">
        <f t="shared" ref="F99:O99" si="60">+E99</f>
        <v>0</v>
      </c>
      <c r="G99" s="301">
        <f t="shared" si="60"/>
        <v>0</v>
      </c>
      <c r="H99" s="301">
        <f t="shared" si="60"/>
        <v>0</v>
      </c>
      <c r="I99" s="301">
        <f t="shared" si="60"/>
        <v>0</v>
      </c>
      <c r="J99" s="301">
        <f t="shared" si="60"/>
        <v>0</v>
      </c>
      <c r="K99" s="301">
        <f t="shared" si="60"/>
        <v>0</v>
      </c>
      <c r="L99" s="301">
        <f t="shared" si="60"/>
        <v>0</v>
      </c>
      <c r="M99" s="301">
        <f t="shared" si="60"/>
        <v>0</v>
      </c>
      <c r="N99" s="301">
        <f t="shared" si="60"/>
        <v>0</v>
      </c>
      <c r="O99" s="301">
        <f t="shared" si="60"/>
        <v>0</v>
      </c>
      <c r="P99" s="302">
        <f>+O99</f>
        <v>0</v>
      </c>
    </row>
    <row r="100" spans="2:16" ht="15" x14ac:dyDescent="0.25">
      <c r="B100" s="727" t="s">
        <v>315</v>
      </c>
      <c r="C100" s="300" t="s">
        <v>45</v>
      </c>
      <c r="D100" s="304">
        <f>D94*(D99)</f>
        <v>0</v>
      </c>
      <c r="E100" s="304">
        <f t="shared" ref="E100:O100" si="61">E94*(E99)</f>
        <v>0</v>
      </c>
      <c r="F100" s="304">
        <f t="shared" si="61"/>
        <v>0</v>
      </c>
      <c r="G100" s="304">
        <f t="shared" si="61"/>
        <v>0</v>
      </c>
      <c r="H100" s="304">
        <f t="shared" si="61"/>
        <v>0</v>
      </c>
      <c r="I100" s="304">
        <f t="shared" si="61"/>
        <v>0</v>
      </c>
      <c r="J100" s="304">
        <f t="shared" si="61"/>
        <v>0</v>
      </c>
      <c r="K100" s="304">
        <f t="shared" si="61"/>
        <v>0</v>
      </c>
      <c r="L100" s="304">
        <f t="shared" si="61"/>
        <v>0</v>
      </c>
      <c r="M100" s="304">
        <f t="shared" si="61"/>
        <v>0</v>
      </c>
      <c r="N100" s="304">
        <f t="shared" si="61"/>
        <v>0</v>
      </c>
      <c r="O100" s="304">
        <f t="shared" si="61"/>
        <v>0</v>
      </c>
      <c r="P100" s="305">
        <f>SUM(D100:O100)</f>
        <v>0</v>
      </c>
    </row>
    <row r="101" spans="2:16" ht="15" x14ac:dyDescent="0.25">
      <c r="B101" s="293" t="str">
        <f>+Ingresos!B92</f>
        <v>Cebolla roja</v>
      </c>
      <c r="C101" s="294"/>
      <c r="D101" s="295"/>
      <c r="E101" s="295"/>
      <c r="F101" s="295"/>
      <c r="G101" s="295"/>
      <c r="H101" s="295"/>
      <c r="I101" s="295"/>
      <c r="J101" s="295"/>
      <c r="K101" s="295"/>
      <c r="L101" s="295"/>
      <c r="M101" s="295"/>
      <c r="N101" s="295"/>
      <c r="O101" s="295"/>
      <c r="P101" s="295"/>
    </row>
    <row r="102" spans="2:16" x14ac:dyDescent="0.2">
      <c r="B102" s="726" t="s">
        <v>159</v>
      </c>
      <c r="C102" s="296" t="s">
        <v>372</v>
      </c>
      <c r="D102" s="297">
        <f>+Ingresos!C93</f>
        <v>460.98</v>
      </c>
      <c r="E102" s="297">
        <f>+Ingresos!D93</f>
        <v>460.98</v>
      </c>
      <c r="F102" s="297">
        <f>+Ingresos!E93</f>
        <v>460.98</v>
      </c>
      <c r="G102" s="297">
        <f>+Ingresos!F93</f>
        <v>460.98</v>
      </c>
      <c r="H102" s="297">
        <f>+Ingresos!G93</f>
        <v>460.98</v>
      </c>
      <c r="I102" s="297">
        <f>+Ingresos!H93</f>
        <v>460.98</v>
      </c>
      <c r="J102" s="297">
        <f>+Ingresos!I93</f>
        <v>460.98</v>
      </c>
      <c r="K102" s="297">
        <f>+Ingresos!J93</f>
        <v>460.98</v>
      </c>
      <c r="L102" s="297">
        <f>+Ingresos!K93</f>
        <v>460.98</v>
      </c>
      <c r="M102" s="297">
        <f>+Ingresos!L93</f>
        <v>460.98</v>
      </c>
      <c r="N102" s="297">
        <f>+Ingresos!M93</f>
        <v>460.98</v>
      </c>
      <c r="O102" s="297">
        <f>+Ingresos!N93</f>
        <v>460.98</v>
      </c>
      <c r="P102" s="298">
        <f>SUM(D102:O102)</f>
        <v>5531.7599999999984</v>
      </c>
    </row>
    <row r="103" spans="2:16" x14ac:dyDescent="0.2">
      <c r="B103" s="726" t="s">
        <v>309</v>
      </c>
      <c r="C103" s="300" t="s">
        <v>45</v>
      </c>
      <c r="D103" s="278">
        <f>Ingresos!C96*0.65</f>
        <v>1467.1799999999998</v>
      </c>
      <c r="E103" s="301">
        <f>+D103</f>
        <v>1467.1799999999998</v>
      </c>
      <c r="F103" s="301">
        <f t="shared" ref="F103:O103" si="62">+E103</f>
        <v>1467.1799999999998</v>
      </c>
      <c r="G103" s="301">
        <f t="shared" si="62"/>
        <v>1467.1799999999998</v>
      </c>
      <c r="H103" s="301">
        <f t="shared" si="62"/>
        <v>1467.1799999999998</v>
      </c>
      <c r="I103" s="301">
        <f t="shared" si="62"/>
        <v>1467.1799999999998</v>
      </c>
      <c r="J103" s="301">
        <f t="shared" si="62"/>
        <v>1467.1799999999998</v>
      </c>
      <c r="K103" s="301">
        <f t="shared" si="62"/>
        <v>1467.1799999999998</v>
      </c>
      <c r="L103" s="301">
        <f t="shared" si="62"/>
        <v>1467.1799999999998</v>
      </c>
      <c r="M103" s="301">
        <f t="shared" si="62"/>
        <v>1467.1799999999998</v>
      </c>
      <c r="N103" s="301">
        <f t="shared" si="62"/>
        <v>1467.1799999999998</v>
      </c>
      <c r="O103" s="301">
        <f t="shared" si="62"/>
        <v>1467.1799999999998</v>
      </c>
      <c r="P103" s="302">
        <f>+O103</f>
        <v>1467.1799999999998</v>
      </c>
    </row>
    <row r="104" spans="2:16" ht="15" x14ac:dyDescent="0.25">
      <c r="B104" s="727" t="s">
        <v>315</v>
      </c>
      <c r="C104" s="300" t="s">
        <v>45</v>
      </c>
      <c r="D104" s="304">
        <f>D102*D103</f>
        <v>676340.63639999996</v>
      </c>
      <c r="E104" s="304">
        <f t="shared" ref="E104:O104" si="63">E102*E103</f>
        <v>676340.63639999996</v>
      </c>
      <c r="F104" s="304">
        <f t="shared" si="63"/>
        <v>676340.63639999996</v>
      </c>
      <c r="G104" s="304">
        <f t="shared" si="63"/>
        <v>676340.63639999996</v>
      </c>
      <c r="H104" s="304">
        <f t="shared" si="63"/>
        <v>676340.63639999996</v>
      </c>
      <c r="I104" s="304">
        <f t="shared" si="63"/>
        <v>676340.63639999996</v>
      </c>
      <c r="J104" s="304">
        <f t="shared" si="63"/>
        <v>676340.63639999996</v>
      </c>
      <c r="K104" s="304">
        <f t="shared" si="63"/>
        <v>676340.63639999996</v>
      </c>
      <c r="L104" s="304">
        <f t="shared" si="63"/>
        <v>676340.63639999996</v>
      </c>
      <c r="M104" s="304">
        <f t="shared" si="63"/>
        <v>676340.63639999996</v>
      </c>
      <c r="N104" s="304">
        <f t="shared" si="63"/>
        <v>676340.63639999996</v>
      </c>
      <c r="O104" s="304">
        <f t="shared" si="63"/>
        <v>676340.63639999996</v>
      </c>
      <c r="P104" s="305">
        <f>SUM(D104:O104)</f>
        <v>8116087.6368000014</v>
      </c>
    </row>
    <row r="105" spans="2:16" x14ac:dyDescent="0.2">
      <c r="B105" s="726" t="s">
        <v>310</v>
      </c>
      <c r="C105" s="300" t="s">
        <v>45</v>
      </c>
      <c r="D105" s="278">
        <v>169.96</v>
      </c>
      <c r="E105" s="301">
        <f>+D105</f>
        <v>169.96</v>
      </c>
      <c r="F105" s="301">
        <f t="shared" ref="F105:O105" si="64">+E105</f>
        <v>169.96</v>
      </c>
      <c r="G105" s="301">
        <f t="shared" si="64"/>
        <v>169.96</v>
      </c>
      <c r="H105" s="301">
        <f t="shared" si="64"/>
        <v>169.96</v>
      </c>
      <c r="I105" s="301">
        <f t="shared" si="64"/>
        <v>169.96</v>
      </c>
      <c r="J105" s="301">
        <f t="shared" si="64"/>
        <v>169.96</v>
      </c>
      <c r="K105" s="301">
        <f t="shared" si="64"/>
        <v>169.96</v>
      </c>
      <c r="L105" s="301">
        <f t="shared" si="64"/>
        <v>169.96</v>
      </c>
      <c r="M105" s="301">
        <f t="shared" si="64"/>
        <v>169.96</v>
      </c>
      <c r="N105" s="301">
        <f t="shared" si="64"/>
        <v>169.96</v>
      </c>
      <c r="O105" s="301">
        <f t="shared" si="64"/>
        <v>169.96</v>
      </c>
      <c r="P105" s="302">
        <f>+O105</f>
        <v>169.96</v>
      </c>
    </row>
    <row r="106" spans="2:16" ht="15" x14ac:dyDescent="0.25">
      <c r="B106" s="727" t="s">
        <v>315</v>
      </c>
      <c r="C106" s="300" t="s">
        <v>45</v>
      </c>
      <c r="D106" s="304">
        <f>D102*D105</f>
        <v>78348.160800000012</v>
      </c>
      <c r="E106" s="304">
        <f t="shared" ref="E106:O106" si="65">E102*E105</f>
        <v>78348.160800000012</v>
      </c>
      <c r="F106" s="304">
        <f t="shared" si="65"/>
        <v>78348.160800000012</v>
      </c>
      <c r="G106" s="304">
        <f t="shared" si="65"/>
        <v>78348.160800000012</v>
      </c>
      <c r="H106" s="304">
        <f t="shared" si="65"/>
        <v>78348.160800000012</v>
      </c>
      <c r="I106" s="304">
        <f t="shared" si="65"/>
        <v>78348.160800000012</v>
      </c>
      <c r="J106" s="304">
        <f t="shared" si="65"/>
        <v>78348.160800000012</v>
      </c>
      <c r="K106" s="304">
        <f t="shared" si="65"/>
        <v>78348.160800000012</v>
      </c>
      <c r="L106" s="304">
        <f t="shared" si="65"/>
        <v>78348.160800000012</v>
      </c>
      <c r="M106" s="304">
        <f t="shared" si="65"/>
        <v>78348.160800000012</v>
      </c>
      <c r="N106" s="304">
        <f t="shared" si="65"/>
        <v>78348.160800000012</v>
      </c>
      <c r="O106" s="304">
        <f t="shared" si="65"/>
        <v>78348.160800000012</v>
      </c>
      <c r="P106" s="305">
        <f>SUM(D106:O106)</f>
        <v>940177.92959999992</v>
      </c>
    </row>
    <row r="107" spans="2:16" x14ac:dyDescent="0.2">
      <c r="B107" s="726" t="s">
        <v>311</v>
      </c>
      <c r="C107" s="300" t="s">
        <v>45</v>
      </c>
      <c r="D107" s="278"/>
      <c r="E107" s="301">
        <f>+D107</f>
        <v>0</v>
      </c>
      <c r="F107" s="301">
        <f t="shared" ref="F107:O107" si="66">+E107</f>
        <v>0</v>
      </c>
      <c r="G107" s="301">
        <f t="shared" si="66"/>
        <v>0</v>
      </c>
      <c r="H107" s="301">
        <f t="shared" si="66"/>
        <v>0</v>
      </c>
      <c r="I107" s="301">
        <f t="shared" si="66"/>
        <v>0</v>
      </c>
      <c r="J107" s="301">
        <f t="shared" si="66"/>
        <v>0</v>
      </c>
      <c r="K107" s="301">
        <f t="shared" si="66"/>
        <v>0</v>
      </c>
      <c r="L107" s="301">
        <f t="shared" si="66"/>
        <v>0</v>
      </c>
      <c r="M107" s="301">
        <f t="shared" si="66"/>
        <v>0</v>
      </c>
      <c r="N107" s="301">
        <f t="shared" si="66"/>
        <v>0</v>
      </c>
      <c r="O107" s="301">
        <f t="shared" si="66"/>
        <v>0</v>
      </c>
      <c r="P107" s="302">
        <f>+O107</f>
        <v>0</v>
      </c>
    </row>
    <row r="108" spans="2:16" ht="15" x14ac:dyDescent="0.25">
      <c r="B108" s="727" t="s">
        <v>315</v>
      </c>
      <c r="C108" s="300" t="s">
        <v>45</v>
      </c>
      <c r="D108" s="304">
        <f>D102*(D107)</f>
        <v>0</v>
      </c>
      <c r="E108" s="304">
        <f t="shared" ref="E108:O108" si="67">E102*(E107)</f>
        <v>0</v>
      </c>
      <c r="F108" s="304">
        <f t="shared" si="67"/>
        <v>0</v>
      </c>
      <c r="G108" s="304">
        <f t="shared" si="67"/>
        <v>0</v>
      </c>
      <c r="H108" s="304">
        <f t="shared" si="67"/>
        <v>0</v>
      </c>
      <c r="I108" s="304">
        <f t="shared" si="67"/>
        <v>0</v>
      </c>
      <c r="J108" s="304">
        <f t="shared" si="67"/>
        <v>0</v>
      </c>
      <c r="K108" s="304">
        <f t="shared" si="67"/>
        <v>0</v>
      </c>
      <c r="L108" s="304">
        <f t="shared" si="67"/>
        <v>0</v>
      </c>
      <c r="M108" s="304">
        <f t="shared" si="67"/>
        <v>0</v>
      </c>
      <c r="N108" s="304">
        <f t="shared" si="67"/>
        <v>0</v>
      </c>
      <c r="O108" s="304">
        <f t="shared" si="67"/>
        <v>0</v>
      </c>
      <c r="P108" s="305">
        <f>SUM(D108:O108)</f>
        <v>0</v>
      </c>
    </row>
    <row r="109" spans="2:16" ht="15" x14ac:dyDescent="0.25">
      <c r="B109" s="293" t="str">
        <f>+Ingresos!B100</f>
        <v>Cilantro</v>
      </c>
      <c r="C109" s="294"/>
      <c r="D109" s="295"/>
      <c r="E109" s="295"/>
      <c r="F109" s="295"/>
      <c r="G109" s="295"/>
      <c r="H109" s="295"/>
      <c r="I109" s="295"/>
      <c r="J109" s="295"/>
      <c r="K109" s="295"/>
      <c r="L109" s="295"/>
      <c r="M109" s="295"/>
      <c r="N109" s="295"/>
      <c r="O109" s="295"/>
      <c r="P109" s="295"/>
    </row>
    <row r="110" spans="2:16" x14ac:dyDescent="0.2">
      <c r="B110" s="726" t="s">
        <v>159</v>
      </c>
      <c r="C110" s="296" t="s">
        <v>372</v>
      </c>
      <c r="D110" s="297">
        <f>+Ingresos!C101</f>
        <v>2134.29</v>
      </c>
      <c r="E110" s="297">
        <f>+Ingresos!D101</f>
        <v>2134.29</v>
      </c>
      <c r="F110" s="297">
        <f>+Ingresos!E101</f>
        <v>2134.29</v>
      </c>
      <c r="G110" s="297">
        <f>+Ingresos!F101</f>
        <v>2134.29</v>
      </c>
      <c r="H110" s="297">
        <f>+Ingresos!G101</f>
        <v>2134.29</v>
      </c>
      <c r="I110" s="297">
        <f>+Ingresos!H101</f>
        <v>2134.29</v>
      </c>
      <c r="J110" s="297">
        <f>+Ingresos!I101</f>
        <v>2134.29</v>
      </c>
      <c r="K110" s="297">
        <f>+Ingresos!J101</f>
        <v>2134.29</v>
      </c>
      <c r="L110" s="297">
        <f>+Ingresos!K101</f>
        <v>2134.29</v>
      </c>
      <c r="M110" s="297">
        <f>+Ingresos!L101</f>
        <v>2134.29</v>
      </c>
      <c r="N110" s="297">
        <f>+Ingresos!M101</f>
        <v>2134.29</v>
      </c>
      <c r="O110" s="297">
        <f>+Ingresos!N101</f>
        <v>2134.29</v>
      </c>
      <c r="P110" s="298">
        <f>SUM(D110:O110)</f>
        <v>25611.480000000007</v>
      </c>
    </row>
    <row r="111" spans="2:16" x14ac:dyDescent="0.2">
      <c r="B111" s="726" t="s">
        <v>309</v>
      </c>
      <c r="C111" s="300" t="s">
        <v>45</v>
      </c>
      <c r="D111" s="278">
        <f>Ingresos!C104*0.65</f>
        <v>3334.5</v>
      </c>
      <c r="E111" s="301">
        <f>+D111</f>
        <v>3334.5</v>
      </c>
      <c r="F111" s="301">
        <f t="shared" ref="F111:O111" si="68">+E111</f>
        <v>3334.5</v>
      </c>
      <c r="G111" s="301">
        <f t="shared" si="68"/>
        <v>3334.5</v>
      </c>
      <c r="H111" s="301">
        <f t="shared" si="68"/>
        <v>3334.5</v>
      </c>
      <c r="I111" s="301">
        <f t="shared" si="68"/>
        <v>3334.5</v>
      </c>
      <c r="J111" s="301">
        <f t="shared" si="68"/>
        <v>3334.5</v>
      </c>
      <c r="K111" s="301">
        <f t="shared" si="68"/>
        <v>3334.5</v>
      </c>
      <c r="L111" s="301">
        <f t="shared" si="68"/>
        <v>3334.5</v>
      </c>
      <c r="M111" s="301">
        <f t="shared" si="68"/>
        <v>3334.5</v>
      </c>
      <c r="N111" s="301">
        <f t="shared" si="68"/>
        <v>3334.5</v>
      </c>
      <c r="O111" s="301">
        <f t="shared" si="68"/>
        <v>3334.5</v>
      </c>
      <c r="P111" s="302">
        <f>+O111</f>
        <v>3334.5</v>
      </c>
    </row>
    <row r="112" spans="2:16" ht="15" x14ac:dyDescent="0.25">
      <c r="B112" s="727" t="s">
        <v>315</v>
      </c>
      <c r="C112" s="300" t="s">
        <v>45</v>
      </c>
      <c r="D112" s="304">
        <f>D110*D111</f>
        <v>7116790.0049999999</v>
      </c>
      <c r="E112" s="304">
        <f t="shared" ref="E112:O112" si="69">E110*E111</f>
        <v>7116790.0049999999</v>
      </c>
      <c r="F112" s="304">
        <f t="shared" si="69"/>
        <v>7116790.0049999999</v>
      </c>
      <c r="G112" s="304">
        <f t="shared" si="69"/>
        <v>7116790.0049999999</v>
      </c>
      <c r="H112" s="304">
        <f t="shared" si="69"/>
        <v>7116790.0049999999</v>
      </c>
      <c r="I112" s="304">
        <f t="shared" si="69"/>
        <v>7116790.0049999999</v>
      </c>
      <c r="J112" s="304">
        <f t="shared" si="69"/>
        <v>7116790.0049999999</v>
      </c>
      <c r="K112" s="304">
        <f t="shared" si="69"/>
        <v>7116790.0049999999</v>
      </c>
      <c r="L112" s="304">
        <f t="shared" si="69"/>
        <v>7116790.0049999999</v>
      </c>
      <c r="M112" s="304">
        <f t="shared" si="69"/>
        <v>7116790.0049999999</v>
      </c>
      <c r="N112" s="304">
        <f t="shared" si="69"/>
        <v>7116790.0049999999</v>
      </c>
      <c r="O112" s="304">
        <f t="shared" si="69"/>
        <v>7116790.0049999999</v>
      </c>
      <c r="P112" s="305">
        <f>SUM(D112:O112)</f>
        <v>85401480.060000002</v>
      </c>
    </row>
    <row r="113" spans="2:16" x14ac:dyDescent="0.2">
      <c r="B113" s="726" t="s">
        <v>310</v>
      </c>
      <c r="C113" s="300" t="s">
        <v>45</v>
      </c>
      <c r="D113" s="278">
        <v>163</v>
      </c>
      <c r="E113" s="301">
        <f>+D113</f>
        <v>163</v>
      </c>
      <c r="F113" s="301">
        <f t="shared" ref="F113:O113" si="70">+E113</f>
        <v>163</v>
      </c>
      <c r="G113" s="301">
        <f t="shared" si="70"/>
        <v>163</v>
      </c>
      <c r="H113" s="301">
        <f t="shared" si="70"/>
        <v>163</v>
      </c>
      <c r="I113" s="301">
        <f t="shared" si="70"/>
        <v>163</v>
      </c>
      <c r="J113" s="301">
        <f t="shared" si="70"/>
        <v>163</v>
      </c>
      <c r="K113" s="301">
        <f t="shared" si="70"/>
        <v>163</v>
      </c>
      <c r="L113" s="301">
        <f t="shared" si="70"/>
        <v>163</v>
      </c>
      <c r="M113" s="301">
        <f t="shared" si="70"/>
        <v>163</v>
      </c>
      <c r="N113" s="301">
        <f t="shared" si="70"/>
        <v>163</v>
      </c>
      <c r="O113" s="301">
        <f t="shared" si="70"/>
        <v>163</v>
      </c>
      <c r="P113" s="302">
        <f>+O113</f>
        <v>163</v>
      </c>
    </row>
    <row r="114" spans="2:16" ht="15" x14ac:dyDescent="0.25">
      <c r="B114" s="727" t="s">
        <v>315</v>
      </c>
      <c r="C114" s="300" t="s">
        <v>45</v>
      </c>
      <c r="D114" s="304">
        <f>D110*D113</f>
        <v>347889.27</v>
      </c>
      <c r="E114" s="304">
        <f t="shared" ref="E114:O114" si="71">E110*E113</f>
        <v>347889.27</v>
      </c>
      <c r="F114" s="304">
        <f t="shared" si="71"/>
        <v>347889.27</v>
      </c>
      <c r="G114" s="304">
        <f t="shared" si="71"/>
        <v>347889.27</v>
      </c>
      <c r="H114" s="304">
        <f t="shared" si="71"/>
        <v>347889.27</v>
      </c>
      <c r="I114" s="304">
        <f t="shared" si="71"/>
        <v>347889.27</v>
      </c>
      <c r="J114" s="304">
        <f t="shared" si="71"/>
        <v>347889.27</v>
      </c>
      <c r="K114" s="304">
        <f t="shared" si="71"/>
        <v>347889.27</v>
      </c>
      <c r="L114" s="304">
        <f t="shared" si="71"/>
        <v>347889.27</v>
      </c>
      <c r="M114" s="304">
        <f t="shared" si="71"/>
        <v>347889.27</v>
      </c>
      <c r="N114" s="304">
        <f t="shared" si="71"/>
        <v>347889.27</v>
      </c>
      <c r="O114" s="304">
        <f t="shared" si="71"/>
        <v>347889.27</v>
      </c>
      <c r="P114" s="305">
        <f>SUM(D114:O114)</f>
        <v>4174671.24</v>
      </c>
    </row>
    <row r="115" spans="2:16" x14ac:dyDescent="0.2">
      <c r="B115" s="726" t="s">
        <v>311</v>
      </c>
      <c r="C115" s="300" t="s">
        <v>45</v>
      </c>
      <c r="D115" s="278"/>
      <c r="E115" s="301">
        <f>+D115</f>
        <v>0</v>
      </c>
      <c r="F115" s="301">
        <f t="shared" ref="F115:O115" si="72">+E115</f>
        <v>0</v>
      </c>
      <c r="G115" s="301">
        <f t="shared" si="72"/>
        <v>0</v>
      </c>
      <c r="H115" s="301">
        <f t="shared" si="72"/>
        <v>0</v>
      </c>
      <c r="I115" s="301">
        <f t="shared" si="72"/>
        <v>0</v>
      </c>
      <c r="J115" s="301">
        <f t="shared" si="72"/>
        <v>0</v>
      </c>
      <c r="K115" s="301">
        <f t="shared" si="72"/>
        <v>0</v>
      </c>
      <c r="L115" s="301">
        <f t="shared" si="72"/>
        <v>0</v>
      </c>
      <c r="M115" s="301">
        <f t="shared" si="72"/>
        <v>0</v>
      </c>
      <c r="N115" s="301">
        <f t="shared" si="72"/>
        <v>0</v>
      </c>
      <c r="O115" s="301">
        <f t="shared" si="72"/>
        <v>0</v>
      </c>
      <c r="P115" s="302">
        <f>+O115</f>
        <v>0</v>
      </c>
    </row>
    <row r="116" spans="2:16" ht="15" x14ac:dyDescent="0.25">
      <c r="B116" s="727" t="s">
        <v>315</v>
      </c>
      <c r="C116" s="300" t="s">
        <v>45</v>
      </c>
      <c r="D116" s="304">
        <f>D110*(D115)</f>
        <v>0</v>
      </c>
      <c r="E116" s="304">
        <f t="shared" ref="E116:O116" si="73">E110*(E115)</f>
        <v>0</v>
      </c>
      <c r="F116" s="304">
        <f t="shared" si="73"/>
        <v>0</v>
      </c>
      <c r="G116" s="304">
        <f t="shared" si="73"/>
        <v>0</v>
      </c>
      <c r="H116" s="304">
        <f t="shared" si="73"/>
        <v>0</v>
      </c>
      <c r="I116" s="304">
        <f t="shared" si="73"/>
        <v>0</v>
      </c>
      <c r="J116" s="304">
        <f t="shared" si="73"/>
        <v>0</v>
      </c>
      <c r="K116" s="304">
        <f t="shared" si="73"/>
        <v>0</v>
      </c>
      <c r="L116" s="304">
        <f t="shared" si="73"/>
        <v>0</v>
      </c>
      <c r="M116" s="304">
        <f t="shared" si="73"/>
        <v>0</v>
      </c>
      <c r="N116" s="304">
        <f t="shared" si="73"/>
        <v>0</v>
      </c>
      <c r="O116" s="304">
        <f t="shared" si="73"/>
        <v>0</v>
      </c>
      <c r="P116" s="305">
        <f>SUM(D116:O116)</f>
        <v>0</v>
      </c>
    </row>
    <row r="117" spans="2:16" ht="15" x14ac:dyDescent="0.25">
      <c r="B117" s="293" t="str">
        <f>+Ingresos!B108</f>
        <v>Frijol verde</v>
      </c>
      <c r="C117" s="294"/>
      <c r="D117" s="295"/>
      <c r="E117" s="295"/>
      <c r="F117" s="295"/>
      <c r="G117" s="295"/>
      <c r="H117" s="295"/>
      <c r="I117" s="295"/>
      <c r="J117" s="295"/>
      <c r="K117" s="295"/>
      <c r="L117" s="295"/>
      <c r="M117" s="295"/>
      <c r="N117" s="295"/>
      <c r="O117" s="295"/>
      <c r="P117" s="295"/>
    </row>
    <row r="118" spans="2:16" x14ac:dyDescent="0.2">
      <c r="B118" s="726" t="s">
        <v>159</v>
      </c>
      <c r="C118" s="296" t="s">
        <v>372</v>
      </c>
      <c r="D118" s="297">
        <f>+Ingresos!C109</f>
        <v>1893.28</v>
      </c>
      <c r="E118" s="297">
        <f>+Ingresos!D109</f>
        <v>1893.28</v>
      </c>
      <c r="F118" s="297">
        <f>+Ingresos!E109</f>
        <v>1893.28</v>
      </c>
      <c r="G118" s="297">
        <f>+Ingresos!F109</f>
        <v>1893.28</v>
      </c>
      <c r="H118" s="297">
        <f>+Ingresos!G109</f>
        <v>1893.28</v>
      </c>
      <c r="I118" s="297">
        <f>+Ingresos!H109</f>
        <v>1893.28</v>
      </c>
      <c r="J118" s="297">
        <f>+Ingresos!I109</f>
        <v>1893.28</v>
      </c>
      <c r="K118" s="297">
        <f>+Ingresos!J109</f>
        <v>1893.28</v>
      </c>
      <c r="L118" s="297">
        <f>+Ingresos!K109</f>
        <v>1893.28</v>
      </c>
      <c r="M118" s="297">
        <f>+Ingresos!L109</f>
        <v>1893.28</v>
      </c>
      <c r="N118" s="297">
        <f>+Ingresos!M109</f>
        <v>1893.28</v>
      </c>
      <c r="O118" s="297">
        <f>+Ingresos!N109</f>
        <v>1893.28</v>
      </c>
      <c r="P118" s="298">
        <f>SUM(D118:O118)</f>
        <v>22719.359999999997</v>
      </c>
    </row>
    <row r="119" spans="2:16" x14ac:dyDescent="0.2">
      <c r="B119" s="726" t="s">
        <v>309</v>
      </c>
      <c r="C119" s="300" t="s">
        <v>45</v>
      </c>
      <c r="D119" s="278">
        <f>Ingresos!C112*0.65</f>
        <v>1889.329</v>
      </c>
      <c r="E119" s="301">
        <f>+D119</f>
        <v>1889.329</v>
      </c>
      <c r="F119" s="301">
        <f t="shared" ref="F119:O119" si="74">+E119</f>
        <v>1889.329</v>
      </c>
      <c r="G119" s="301">
        <f t="shared" si="74"/>
        <v>1889.329</v>
      </c>
      <c r="H119" s="301">
        <f t="shared" si="74"/>
        <v>1889.329</v>
      </c>
      <c r="I119" s="301">
        <f t="shared" si="74"/>
        <v>1889.329</v>
      </c>
      <c r="J119" s="301">
        <f t="shared" si="74"/>
        <v>1889.329</v>
      </c>
      <c r="K119" s="301">
        <f t="shared" si="74"/>
        <v>1889.329</v>
      </c>
      <c r="L119" s="301">
        <f t="shared" si="74"/>
        <v>1889.329</v>
      </c>
      <c r="M119" s="301">
        <f t="shared" si="74"/>
        <v>1889.329</v>
      </c>
      <c r="N119" s="301">
        <f t="shared" si="74"/>
        <v>1889.329</v>
      </c>
      <c r="O119" s="301">
        <f t="shared" si="74"/>
        <v>1889.329</v>
      </c>
      <c r="P119" s="302">
        <f>+O119</f>
        <v>1889.329</v>
      </c>
    </row>
    <row r="120" spans="2:16" ht="15" x14ac:dyDescent="0.25">
      <c r="B120" s="727" t="s">
        <v>315</v>
      </c>
      <c r="C120" s="300" t="s">
        <v>45</v>
      </c>
      <c r="D120" s="304">
        <f>D118*D119</f>
        <v>3577028.8091199999</v>
      </c>
      <c r="E120" s="304">
        <f t="shared" ref="E120:O120" si="75">E118*E119</f>
        <v>3577028.8091199999</v>
      </c>
      <c r="F120" s="304">
        <f t="shared" si="75"/>
        <v>3577028.8091199999</v>
      </c>
      <c r="G120" s="304">
        <f t="shared" si="75"/>
        <v>3577028.8091199999</v>
      </c>
      <c r="H120" s="304">
        <f t="shared" si="75"/>
        <v>3577028.8091199999</v>
      </c>
      <c r="I120" s="304">
        <f t="shared" si="75"/>
        <v>3577028.8091199999</v>
      </c>
      <c r="J120" s="304">
        <f t="shared" si="75"/>
        <v>3577028.8091199999</v>
      </c>
      <c r="K120" s="304">
        <f t="shared" si="75"/>
        <v>3577028.8091199999</v>
      </c>
      <c r="L120" s="304">
        <f t="shared" si="75"/>
        <v>3577028.8091199999</v>
      </c>
      <c r="M120" s="304">
        <f t="shared" si="75"/>
        <v>3577028.8091199999</v>
      </c>
      <c r="N120" s="304">
        <f t="shared" si="75"/>
        <v>3577028.8091199999</v>
      </c>
      <c r="O120" s="304">
        <f t="shared" si="75"/>
        <v>3577028.8091199999</v>
      </c>
      <c r="P120" s="305">
        <f>SUM(D120:O120)</f>
        <v>42924345.70944</v>
      </c>
    </row>
    <row r="121" spans="2:16" x14ac:dyDescent="0.2">
      <c r="B121" s="726" t="s">
        <v>310</v>
      </c>
      <c r="C121" s="300" t="s">
        <v>45</v>
      </c>
      <c r="D121" s="278">
        <v>242.13</v>
      </c>
      <c r="E121" s="301">
        <f>+D121</f>
        <v>242.13</v>
      </c>
      <c r="F121" s="301">
        <f t="shared" ref="F121:O121" si="76">+E121</f>
        <v>242.13</v>
      </c>
      <c r="G121" s="301">
        <f t="shared" si="76"/>
        <v>242.13</v>
      </c>
      <c r="H121" s="301">
        <f t="shared" si="76"/>
        <v>242.13</v>
      </c>
      <c r="I121" s="301">
        <f t="shared" si="76"/>
        <v>242.13</v>
      </c>
      <c r="J121" s="301">
        <f t="shared" si="76"/>
        <v>242.13</v>
      </c>
      <c r="K121" s="301">
        <f t="shared" si="76"/>
        <v>242.13</v>
      </c>
      <c r="L121" s="301">
        <f t="shared" si="76"/>
        <v>242.13</v>
      </c>
      <c r="M121" s="301">
        <f t="shared" si="76"/>
        <v>242.13</v>
      </c>
      <c r="N121" s="301">
        <f t="shared" si="76"/>
        <v>242.13</v>
      </c>
      <c r="O121" s="301">
        <f t="shared" si="76"/>
        <v>242.13</v>
      </c>
      <c r="P121" s="302">
        <f>+O121</f>
        <v>242.13</v>
      </c>
    </row>
    <row r="122" spans="2:16" ht="15" x14ac:dyDescent="0.25">
      <c r="B122" s="727" t="s">
        <v>315</v>
      </c>
      <c r="C122" s="300" t="s">
        <v>45</v>
      </c>
      <c r="D122" s="304">
        <f>D118*D121</f>
        <v>458419.88639999996</v>
      </c>
      <c r="E122" s="304">
        <f t="shared" ref="E122:O122" si="77">E118*E121</f>
        <v>458419.88639999996</v>
      </c>
      <c r="F122" s="304">
        <f t="shared" si="77"/>
        <v>458419.88639999996</v>
      </c>
      <c r="G122" s="304">
        <f t="shared" si="77"/>
        <v>458419.88639999996</v>
      </c>
      <c r="H122" s="304">
        <f t="shared" si="77"/>
        <v>458419.88639999996</v>
      </c>
      <c r="I122" s="304">
        <f t="shared" si="77"/>
        <v>458419.88639999996</v>
      </c>
      <c r="J122" s="304">
        <f t="shared" si="77"/>
        <v>458419.88639999996</v>
      </c>
      <c r="K122" s="304">
        <f t="shared" si="77"/>
        <v>458419.88639999996</v>
      </c>
      <c r="L122" s="304">
        <f t="shared" si="77"/>
        <v>458419.88639999996</v>
      </c>
      <c r="M122" s="304">
        <f t="shared" si="77"/>
        <v>458419.88639999996</v>
      </c>
      <c r="N122" s="304">
        <f t="shared" si="77"/>
        <v>458419.88639999996</v>
      </c>
      <c r="O122" s="304">
        <f t="shared" si="77"/>
        <v>458419.88639999996</v>
      </c>
      <c r="P122" s="305">
        <f>SUM(D122:O122)</f>
        <v>5501038.6368000014</v>
      </c>
    </row>
    <row r="123" spans="2:16" x14ac:dyDescent="0.2">
      <c r="B123" s="726" t="s">
        <v>311</v>
      </c>
      <c r="C123" s="300" t="s">
        <v>45</v>
      </c>
      <c r="D123" s="278"/>
      <c r="E123" s="301">
        <f>+D123</f>
        <v>0</v>
      </c>
      <c r="F123" s="301">
        <f t="shared" ref="F123:O123" si="78">+E123</f>
        <v>0</v>
      </c>
      <c r="G123" s="301">
        <f t="shared" si="78"/>
        <v>0</v>
      </c>
      <c r="H123" s="301">
        <f t="shared" si="78"/>
        <v>0</v>
      </c>
      <c r="I123" s="301">
        <f t="shared" si="78"/>
        <v>0</v>
      </c>
      <c r="J123" s="301">
        <f t="shared" si="78"/>
        <v>0</v>
      </c>
      <c r="K123" s="301">
        <f t="shared" si="78"/>
        <v>0</v>
      </c>
      <c r="L123" s="301">
        <f t="shared" si="78"/>
        <v>0</v>
      </c>
      <c r="M123" s="301">
        <f t="shared" si="78"/>
        <v>0</v>
      </c>
      <c r="N123" s="301">
        <f t="shared" si="78"/>
        <v>0</v>
      </c>
      <c r="O123" s="301">
        <f t="shared" si="78"/>
        <v>0</v>
      </c>
      <c r="P123" s="302">
        <f>+O123</f>
        <v>0</v>
      </c>
    </row>
    <row r="124" spans="2:16" ht="15" x14ac:dyDescent="0.25">
      <c r="B124" s="727" t="s">
        <v>315</v>
      </c>
      <c r="C124" s="300" t="s">
        <v>45</v>
      </c>
      <c r="D124" s="304">
        <f>D118*(D123)</f>
        <v>0</v>
      </c>
      <c r="E124" s="304">
        <f t="shared" ref="E124:O124" si="79">E118*(E123)</f>
        <v>0</v>
      </c>
      <c r="F124" s="304">
        <f t="shared" si="79"/>
        <v>0</v>
      </c>
      <c r="G124" s="304">
        <f t="shared" si="79"/>
        <v>0</v>
      </c>
      <c r="H124" s="304">
        <f t="shared" si="79"/>
        <v>0</v>
      </c>
      <c r="I124" s="304">
        <f t="shared" si="79"/>
        <v>0</v>
      </c>
      <c r="J124" s="304">
        <f t="shared" si="79"/>
        <v>0</v>
      </c>
      <c r="K124" s="304">
        <f t="shared" si="79"/>
        <v>0</v>
      </c>
      <c r="L124" s="304">
        <f t="shared" si="79"/>
        <v>0</v>
      </c>
      <c r="M124" s="304">
        <f t="shared" si="79"/>
        <v>0</v>
      </c>
      <c r="N124" s="304">
        <f t="shared" si="79"/>
        <v>0</v>
      </c>
      <c r="O124" s="304">
        <f t="shared" si="79"/>
        <v>0</v>
      </c>
      <c r="P124" s="305">
        <f>SUM(D124:O124)</f>
        <v>0</v>
      </c>
    </row>
    <row r="125" spans="2:16" ht="15" x14ac:dyDescent="0.25">
      <c r="B125" s="293" t="str">
        <f>+Ingresos!B116</f>
        <v>Habichuela</v>
      </c>
      <c r="C125" s="294"/>
      <c r="D125" s="295"/>
      <c r="E125" s="295"/>
      <c r="F125" s="295"/>
      <c r="G125" s="295"/>
      <c r="H125" s="295"/>
      <c r="I125" s="295"/>
      <c r="J125" s="295"/>
      <c r="K125" s="295"/>
      <c r="L125" s="295"/>
      <c r="M125" s="295"/>
      <c r="N125" s="295"/>
      <c r="O125" s="295"/>
      <c r="P125" s="295"/>
    </row>
    <row r="126" spans="2:16" x14ac:dyDescent="0.2">
      <c r="B126" s="299" t="s">
        <v>159</v>
      </c>
      <c r="C126" s="296" t="s">
        <v>372</v>
      </c>
      <c r="D126" s="297">
        <f>+Ingresos!C117</f>
        <v>1405.44</v>
      </c>
      <c r="E126" s="297">
        <f>+Ingresos!D117</f>
        <v>1405.44</v>
      </c>
      <c r="F126" s="297">
        <f>+Ingresos!E117</f>
        <v>1405.44</v>
      </c>
      <c r="G126" s="297">
        <f>+Ingresos!F117</f>
        <v>1405.44</v>
      </c>
      <c r="H126" s="297">
        <f>+Ingresos!G117</f>
        <v>1405.44</v>
      </c>
      <c r="I126" s="297">
        <f>+Ingresos!H117</f>
        <v>1405.44</v>
      </c>
      <c r="J126" s="297">
        <f>+Ingresos!I117</f>
        <v>1405.44</v>
      </c>
      <c r="K126" s="297">
        <f>+Ingresos!J117</f>
        <v>1405.44</v>
      </c>
      <c r="L126" s="297">
        <f>+Ingresos!K117</f>
        <v>1405.44</v>
      </c>
      <c r="M126" s="297">
        <f>+Ingresos!L117</f>
        <v>1405.44</v>
      </c>
      <c r="N126" s="297">
        <f>+Ingresos!M117</f>
        <v>1405.44</v>
      </c>
      <c r="O126" s="297">
        <f>+Ingresos!N117</f>
        <v>1405.44</v>
      </c>
      <c r="P126" s="298">
        <f>SUM(D126:O126)</f>
        <v>16865.280000000002</v>
      </c>
    </row>
    <row r="127" spans="2:16" x14ac:dyDescent="0.2">
      <c r="B127" s="299" t="s">
        <v>309</v>
      </c>
      <c r="C127" s="300" t="s">
        <v>45</v>
      </c>
      <c r="D127" s="278">
        <f>Ingresos!C120*0.65</f>
        <v>1089.049</v>
      </c>
      <c r="E127" s="301">
        <f>+D127</f>
        <v>1089.049</v>
      </c>
      <c r="F127" s="301">
        <f t="shared" ref="F127:O127" si="80">+E127</f>
        <v>1089.049</v>
      </c>
      <c r="G127" s="301">
        <f t="shared" si="80"/>
        <v>1089.049</v>
      </c>
      <c r="H127" s="301">
        <f t="shared" si="80"/>
        <v>1089.049</v>
      </c>
      <c r="I127" s="301">
        <f t="shared" si="80"/>
        <v>1089.049</v>
      </c>
      <c r="J127" s="301">
        <f t="shared" si="80"/>
        <v>1089.049</v>
      </c>
      <c r="K127" s="301">
        <f t="shared" si="80"/>
        <v>1089.049</v>
      </c>
      <c r="L127" s="301">
        <f t="shared" si="80"/>
        <v>1089.049</v>
      </c>
      <c r="M127" s="301">
        <f t="shared" si="80"/>
        <v>1089.049</v>
      </c>
      <c r="N127" s="301">
        <f t="shared" si="80"/>
        <v>1089.049</v>
      </c>
      <c r="O127" s="301">
        <f t="shared" si="80"/>
        <v>1089.049</v>
      </c>
      <c r="P127" s="302">
        <f>+O127</f>
        <v>1089.049</v>
      </c>
    </row>
    <row r="128" spans="2:16" ht="15" x14ac:dyDescent="0.25">
      <c r="B128" s="303" t="s">
        <v>315</v>
      </c>
      <c r="C128" s="300" t="s">
        <v>45</v>
      </c>
      <c r="D128" s="304">
        <f>D126*D127</f>
        <v>1530593.0265600001</v>
      </c>
      <c r="E128" s="304">
        <f t="shared" ref="E128:O128" si="81">E126*E127</f>
        <v>1530593.0265600001</v>
      </c>
      <c r="F128" s="304">
        <f t="shared" si="81"/>
        <v>1530593.0265600001</v>
      </c>
      <c r="G128" s="304">
        <f t="shared" si="81"/>
        <v>1530593.0265600001</v>
      </c>
      <c r="H128" s="304">
        <f t="shared" si="81"/>
        <v>1530593.0265600001</v>
      </c>
      <c r="I128" s="304">
        <f t="shared" si="81"/>
        <v>1530593.0265600001</v>
      </c>
      <c r="J128" s="304">
        <f t="shared" si="81"/>
        <v>1530593.0265600001</v>
      </c>
      <c r="K128" s="304">
        <f t="shared" si="81"/>
        <v>1530593.0265600001</v>
      </c>
      <c r="L128" s="304">
        <f t="shared" si="81"/>
        <v>1530593.0265600001</v>
      </c>
      <c r="M128" s="304">
        <f t="shared" si="81"/>
        <v>1530593.0265600001</v>
      </c>
      <c r="N128" s="304">
        <f t="shared" si="81"/>
        <v>1530593.0265600001</v>
      </c>
      <c r="O128" s="304">
        <f t="shared" si="81"/>
        <v>1530593.0265600001</v>
      </c>
      <c r="P128" s="305">
        <f>SUM(D128:O128)</f>
        <v>18367116.318720005</v>
      </c>
    </row>
    <row r="129" spans="2:16" x14ac:dyDescent="0.2">
      <c r="B129" s="299" t="s">
        <v>310</v>
      </c>
      <c r="C129" s="300" t="s">
        <v>45</v>
      </c>
      <c r="D129" s="278">
        <v>105.33</v>
      </c>
      <c r="E129" s="301">
        <f>+D129</f>
        <v>105.33</v>
      </c>
      <c r="F129" s="301">
        <f t="shared" ref="F129:O129" si="82">+E129</f>
        <v>105.33</v>
      </c>
      <c r="G129" s="301">
        <f t="shared" si="82"/>
        <v>105.33</v>
      </c>
      <c r="H129" s="301">
        <f t="shared" si="82"/>
        <v>105.33</v>
      </c>
      <c r="I129" s="301">
        <f t="shared" si="82"/>
        <v>105.33</v>
      </c>
      <c r="J129" s="301">
        <f t="shared" si="82"/>
        <v>105.33</v>
      </c>
      <c r="K129" s="301">
        <f t="shared" si="82"/>
        <v>105.33</v>
      </c>
      <c r="L129" s="301">
        <f t="shared" si="82"/>
        <v>105.33</v>
      </c>
      <c r="M129" s="301">
        <f t="shared" si="82"/>
        <v>105.33</v>
      </c>
      <c r="N129" s="301">
        <f t="shared" si="82"/>
        <v>105.33</v>
      </c>
      <c r="O129" s="301">
        <f t="shared" si="82"/>
        <v>105.33</v>
      </c>
      <c r="P129" s="302">
        <f>+O129</f>
        <v>105.33</v>
      </c>
    </row>
    <row r="130" spans="2:16" ht="15" x14ac:dyDescent="0.25">
      <c r="B130" s="303" t="s">
        <v>315</v>
      </c>
      <c r="C130" s="300" t="s">
        <v>45</v>
      </c>
      <c r="D130" s="304">
        <f>D126*D129</f>
        <v>148034.9952</v>
      </c>
      <c r="E130" s="304">
        <f t="shared" ref="E130:O130" si="83">E126*E129</f>
        <v>148034.9952</v>
      </c>
      <c r="F130" s="304">
        <f t="shared" si="83"/>
        <v>148034.9952</v>
      </c>
      <c r="G130" s="304">
        <f t="shared" si="83"/>
        <v>148034.9952</v>
      </c>
      <c r="H130" s="304">
        <f t="shared" si="83"/>
        <v>148034.9952</v>
      </c>
      <c r="I130" s="304">
        <f t="shared" si="83"/>
        <v>148034.9952</v>
      </c>
      <c r="J130" s="304">
        <f t="shared" si="83"/>
        <v>148034.9952</v>
      </c>
      <c r="K130" s="304">
        <f t="shared" si="83"/>
        <v>148034.9952</v>
      </c>
      <c r="L130" s="304">
        <f t="shared" si="83"/>
        <v>148034.9952</v>
      </c>
      <c r="M130" s="304">
        <f t="shared" si="83"/>
        <v>148034.9952</v>
      </c>
      <c r="N130" s="304">
        <f t="shared" si="83"/>
        <v>148034.9952</v>
      </c>
      <c r="O130" s="304">
        <f t="shared" si="83"/>
        <v>148034.9952</v>
      </c>
      <c r="P130" s="305">
        <f>SUM(D130:O130)</f>
        <v>1776419.9424000001</v>
      </c>
    </row>
    <row r="131" spans="2:16" x14ac:dyDescent="0.2">
      <c r="B131" s="299" t="s">
        <v>311</v>
      </c>
      <c r="C131" s="300" t="s">
        <v>45</v>
      </c>
      <c r="D131" s="278"/>
      <c r="E131" s="301">
        <f>+D131</f>
        <v>0</v>
      </c>
      <c r="F131" s="301">
        <f t="shared" ref="F131:O131" si="84">+E131</f>
        <v>0</v>
      </c>
      <c r="G131" s="301">
        <f t="shared" si="84"/>
        <v>0</v>
      </c>
      <c r="H131" s="301">
        <f t="shared" si="84"/>
        <v>0</v>
      </c>
      <c r="I131" s="301">
        <f t="shared" si="84"/>
        <v>0</v>
      </c>
      <c r="J131" s="301">
        <f t="shared" si="84"/>
        <v>0</v>
      </c>
      <c r="K131" s="301">
        <f t="shared" si="84"/>
        <v>0</v>
      </c>
      <c r="L131" s="301">
        <f t="shared" si="84"/>
        <v>0</v>
      </c>
      <c r="M131" s="301">
        <f t="shared" si="84"/>
        <v>0</v>
      </c>
      <c r="N131" s="301">
        <f t="shared" si="84"/>
        <v>0</v>
      </c>
      <c r="O131" s="301">
        <f t="shared" si="84"/>
        <v>0</v>
      </c>
      <c r="P131" s="302">
        <f>+O131</f>
        <v>0</v>
      </c>
    </row>
    <row r="132" spans="2:16" ht="15" x14ac:dyDescent="0.25">
      <c r="B132" s="303" t="s">
        <v>315</v>
      </c>
      <c r="C132" s="300" t="s">
        <v>45</v>
      </c>
      <c r="D132" s="304">
        <f>D126*(D131)</f>
        <v>0</v>
      </c>
      <c r="E132" s="304">
        <f t="shared" ref="E132:O132" si="85">E126*(E131)</f>
        <v>0</v>
      </c>
      <c r="F132" s="304">
        <f t="shared" si="85"/>
        <v>0</v>
      </c>
      <c r="G132" s="304">
        <f t="shared" si="85"/>
        <v>0</v>
      </c>
      <c r="H132" s="304">
        <f t="shared" si="85"/>
        <v>0</v>
      </c>
      <c r="I132" s="304">
        <f t="shared" si="85"/>
        <v>0</v>
      </c>
      <c r="J132" s="304">
        <f t="shared" si="85"/>
        <v>0</v>
      </c>
      <c r="K132" s="304">
        <f t="shared" si="85"/>
        <v>0</v>
      </c>
      <c r="L132" s="304">
        <f t="shared" si="85"/>
        <v>0</v>
      </c>
      <c r="M132" s="304">
        <f t="shared" si="85"/>
        <v>0</v>
      </c>
      <c r="N132" s="304">
        <f t="shared" si="85"/>
        <v>0</v>
      </c>
      <c r="O132" s="304">
        <f t="shared" si="85"/>
        <v>0</v>
      </c>
      <c r="P132" s="305">
        <f>SUM(D132:O132)</f>
        <v>0</v>
      </c>
    </row>
    <row r="133" spans="2:16" ht="15" x14ac:dyDescent="0.25">
      <c r="B133" s="293" t="str">
        <f>+Ingresos!B124</f>
        <v>Lechuga Batavia</v>
      </c>
      <c r="C133" s="294"/>
      <c r="D133" s="295"/>
      <c r="E133" s="295"/>
      <c r="F133" s="295"/>
      <c r="G133" s="295"/>
      <c r="H133" s="295"/>
      <c r="I133" s="295"/>
      <c r="J133" s="295"/>
      <c r="K133" s="295"/>
      <c r="L133" s="295"/>
      <c r="M133" s="295"/>
      <c r="N133" s="295"/>
      <c r="O133" s="295"/>
      <c r="P133" s="295"/>
    </row>
    <row r="134" spans="2:16" x14ac:dyDescent="0.2">
      <c r="B134" s="726" t="s">
        <v>159</v>
      </c>
      <c r="C134" s="296" t="s">
        <v>372</v>
      </c>
      <c r="D134" s="297">
        <f>+Ingresos!C125</f>
        <v>133.09</v>
      </c>
      <c r="E134" s="297">
        <f>+Ingresos!D125</f>
        <v>133.09</v>
      </c>
      <c r="F134" s="297">
        <f>+Ingresos!E125</f>
        <v>133.09</v>
      </c>
      <c r="G134" s="297">
        <f>+Ingresos!F125</f>
        <v>133.09</v>
      </c>
      <c r="H134" s="297">
        <f>+Ingresos!G125</f>
        <v>133.09</v>
      </c>
      <c r="I134" s="297">
        <f>+Ingresos!H125</f>
        <v>133.09</v>
      </c>
      <c r="J134" s="297">
        <f>+Ingresos!I125</f>
        <v>133.09</v>
      </c>
      <c r="K134" s="297">
        <f>+Ingresos!J125</f>
        <v>133.09</v>
      </c>
      <c r="L134" s="297">
        <f>+Ingresos!K125</f>
        <v>133.09</v>
      </c>
      <c r="M134" s="297">
        <f>+Ingresos!L125</f>
        <v>133.09</v>
      </c>
      <c r="N134" s="297">
        <f>+Ingresos!M125</f>
        <v>133.09</v>
      </c>
      <c r="O134" s="297">
        <f>+Ingresos!N125</f>
        <v>133.09</v>
      </c>
      <c r="P134" s="298">
        <f>SUM(D134:O134)</f>
        <v>1597.0799999999997</v>
      </c>
    </row>
    <row r="135" spans="2:16" x14ac:dyDescent="0.2">
      <c r="B135" s="726" t="s">
        <v>309</v>
      </c>
      <c r="C135" s="300" t="s">
        <v>45</v>
      </c>
      <c r="D135" s="278">
        <f>Ingresos!C128*0.65</f>
        <v>888.97900000000004</v>
      </c>
      <c r="E135" s="301">
        <f>+D135</f>
        <v>888.97900000000004</v>
      </c>
      <c r="F135" s="301">
        <f t="shared" ref="F135:O135" si="86">+E135</f>
        <v>888.97900000000004</v>
      </c>
      <c r="G135" s="301">
        <f t="shared" si="86"/>
        <v>888.97900000000004</v>
      </c>
      <c r="H135" s="301">
        <f t="shared" si="86"/>
        <v>888.97900000000004</v>
      </c>
      <c r="I135" s="301">
        <f t="shared" si="86"/>
        <v>888.97900000000004</v>
      </c>
      <c r="J135" s="301">
        <f t="shared" si="86"/>
        <v>888.97900000000004</v>
      </c>
      <c r="K135" s="301">
        <f t="shared" si="86"/>
        <v>888.97900000000004</v>
      </c>
      <c r="L135" s="301">
        <f t="shared" si="86"/>
        <v>888.97900000000004</v>
      </c>
      <c r="M135" s="301">
        <f t="shared" si="86"/>
        <v>888.97900000000004</v>
      </c>
      <c r="N135" s="301">
        <f t="shared" si="86"/>
        <v>888.97900000000004</v>
      </c>
      <c r="O135" s="301">
        <f t="shared" si="86"/>
        <v>888.97900000000004</v>
      </c>
      <c r="P135" s="302">
        <f>+O135</f>
        <v>888.97900000000004</v>
      </c>
    </row>
    <row r="136" spans="2:16" ht="15" x14ac:dyDescent="0.25">
      <c r="B136" s="727" t="s">
        <v>315</v>
      </c>
      <c r="C136" s="300" t="s">
        <v>45</v>
      </c>
      <c r="D136" s="304">
        <f>D134*D135</f>
        <v>118314.21511</v>
      </c>
      <c r="E136" s="304">
        <f t="shared" ref="E136:O136" si="87">E134*E135</f>
        <v>118314.21511</v>
      </c>
      <c r="F136" s="304">
        <f t="shared" si="87"/>
        <v>118314.21511</v>
      </c>
      <c r="G136" s="304">
        <f t="shared" si="87"/>
        <v>118314.21511</v>
      </c>
      <c r="H136" s="304">
        <f t="shared" si="87"/>
        <v>118314.21511</v>
      </c>
      <c r="I136" s="304">
        <f t="shared" si="87"/>
        <v>118314.21511</v>
      </c>
      <c r="J136" s="304">
        <f t="shared" si="87"/>
        <v>118314.21511</v>
      </c>
      <c r="K136" s="304">
        <f t="shared" si="87"/>
        <v>118314.21511</v>
      </c>
      <c r="L136" s="304">
        <f t="shared" si="87"/>
        <v>118314.21511</v>
      </c>
      <c r="M136" s="304">
        <f t="shared" si="87"/>
        <v>118314.21511</v>
      </c>
      <c r="N136" s="304">
        <f t="shared" si="87"/>
        <v>118314.21511</v>
      </c>
      <c r="O136" s="304">
        <f t="shared" si="87"/>
        <v>118314.21511</v>
      </c>
      <c r="P136" s="305">
        <f>SUM(D136:O136)</f>
        <v>1419770.5813200001</v>
      </c>
    </row>
    <row r="137" spans="2:16" x14ac:dyDescent="0.2">
      <c r="B137" s="726" t="s">
        <v>310</v>
      </c>
      <c r="C137" s="300" t="s">
        <v>45</v>
      </c>
      <c r="D137" s="278">
        <v>71.13</v>
      </c>
      <c r="E137" s="301">
        <f>+D137</f>
        <v>71.13</v>
      </c>
      <c r="F137" s="301">
        <f t="shared" ref="F137:O137" si="88">+E137</f>
        <v>71.13</v>
      </c>
      <c r="G137" s="301">
        <f t="shared" si="88"/>
        <v>71.13</v>
      </c>
      <c r="H137" s="301">
        <f t="shared" si="88"/>
        <v>71.13</v>
      </c>
      <c r="I137" s="301">
        <f t="shared" si="88"/>
        <v>71.13</v>
      </c>
      <c r="J137" s="301">
        <f t="shared" si="88"/>
        <v>71.13</v>
      </c>
      <c r="K137" s="301">
        <f t="shared" si="88"/>
        <v>71.13</v>
      </c>
      <c r="L137" s="301">
        <f t="shared" si="88"/>
        <v>71.13</v>
      </c>
      <c r="M137" s="301">
        <f t="shared" si="88"/>
        <v>71.13</v>
      </c>
      <c r="N137" s="301">
        <f t="shared" si="88"/>
        <v>71.13</v>
      </c>
      <c r="O137" s="301">
        <f t="shared" si="88"/>
        <v>71.13</v>
      </c>
      <c r="P137" s="302">
        <f>+O137</f>
        <v>71.13</v>
      </c>
    </row>
    <row r="138" spans="2:16" ht="15" x14ac:dyDescent="0.25">
      <c r="B138" s="727" t="s">
        <v>315</v>
      </c>
      <c r="C138" s="300" t="s">
        <v>45</v>
      </c>
      <c r="D138" s="304">
        <f>D134*D137</f>
        <v>9466.6916999999994</v>
      </c>
      <c r="E138" s="304">
        <f t="shared" ref="E138:O138" si="89">E134*E137</f>
        <v>9466.6916999999994</v>
      </c>
      <c r="F138" s="304">
        <f t="shared" si="89"/>
        <v>9466.6916999999994</v>
      </c>
      <c r="G138" s="304">
        <f t="shared" si="89"/>
        <v>9466.6916999999994</v>
      </c>
      <c r="H138" s="304">
        <f t="shared" si="89"/>
        <v>9466.6916999999994</v>
      </c>
      <c r="I138" s="304">
        <f t="shared" si="89"/>
        <v>9466.6916999999994</v>
      </c>
      <c r="J138" s="304">
        <f t="shared" si="89"/>
        <v>9466.6916999999994</v>
      </c>
      <c r="K138" s="304">
        <f t="shared" si="89"/>
        <v>9466.6916999999994</v>
      </c>
      <c r="L138" s="304">
        <f t="shared" si="89"/>
        <v>9466.6916999999994</v>
      </c>
      <c r="M138" s="304">
        <f t="shared" si="89"/>
        <v>9466.6916999999994</v>
      </c>
      <c r="N138" s="304">
        <f t="shared" si="89"/>
        <v>9466.6916999999994</v>
      </c>
      <c r="O138" s="304">
        <f t="shared" si="89"/>
        <v>9466.6916999999994</v>
      </c>
      <c r="P138" s="305">
        <f>SUM(D138:O138)</f>
        <v>113600.30039999996</v>
      </c>
    </row>
    <row r="139" spans="2:16" x14ac:dyDescent="0.2">
      <c r="B139" s="726" t="s">
        <v>311</v>
      </c>
      <c r="C139" s="300" t="s">
        <v>45</v>
      </c>
      <c r="D139" s="278"/>
      <c r="E139" s="301">
        <f>+D139</f>
        <v>0</v>
      </c>
      <c r="F139" s="301">
        <f t="shared" ref="F139:O139" si="90">+E139</f>
        <v>0</v>
      </c>
      <c r="G139" s="301">
        <f t="shared" si="90"/>
        <v>0</v>
      </c>
      <c r="H139" s="301">
        <f t="shared" si="90"/>
        <v>0</v>
      </c>
      <c r="I139" s="301">
        <f t="shared" si="90"/>
        <v>0</v>
      </c>
      <c r="J139" s="301">
        <f t="shared" si="90"/>
        <v>0</v>
      </c>
      <c r="K139" s="301">
        <f t="shared" si="90"/>
        <v>0</v>
      </c>
      <c r="L139" s="301">
        <f t="shared" si="90"/>
        <v>0</v>
      </c>
      <c r="M139" s="301">
        <f t="shared" si="90"/>
        <v>0</v>
      </c>
      <c r="N139" s="301">
        <f t="shared" si="90"/>
        <v>0</v>
      </c>
      <c r="O139" s="301">
        <f t="shared" si="90"/>
        <v>0</v>
      </c>
      <c r="P139" s="302">
        <f>+O139</f>
        <v>0</v>
      </c>
    </row>
    <row r="140" spans="2:16" ht="15" x14ac:dyDescent="0.25">
      <c r="B140" s="727" t="s">
        <v>315</v>
      </c>
      <c r="C140" s="300" t="s">
        <v>45</v>
      </c>
      <c r="D140" s="304">
        <f>D134*(D139)</f>
        <v>0</v>
      </c>
      <c r="E140" s="304">
        <f t="shared" ref="E140:O140" si="91">E134*(E139)</f>
        <v>0</v>
      </c>
      <c r="F140" s="304">
        <f t="shared" si="91"/>
        <v>0</v>
      </c>
      <c r="G140" s="304">
        <f t="shared" si="91"/>
        <v>0</v>
      </c>
      <c r="H140" s="304">
        <f t="shared" si="91"/>
        <v>0</v>
      </c>
      <c r="I140" s="304">
        <f t="shared" si="91"/>
        <v>0</v>
      </c>
      <c r="J140" s="304">
        <f t="shared" si="91"/>
        <v>0</v>
      </c>
      <c r="K140" s="304">
        <f t="shared" si="91"/>
        <v>0</v>
      </c>
      <c r="L140" s="304">
        <f t="shared" si="91"/>
        <v>0</v>
      </c>
      <c r="M140" s="304">
        <f t="shared" si="91"/>
        <v>0</v>
      </c>
      <c r="N140" s="304">
        <f t="shared" si="91"/>
        <v>0</v>
      </c>
      <c r="O140" s="304">
        <f t="shared" si="91"/>
        <v>0</v>
      </c>
      <c r="P140" s="305">
        <f>SUM(D140:O140)</f>
        <v>0</v>
      </c>
    </row>
    <row r="141" spans="2:16" ht="15" x14ac:dyDescent="0.25">
      <c r="B141" s="293" t="str">
        <f>+Ingresos!B132</f>
        <v>Papa Capira</v>
      </c>
      <c r="C141" s="294"/>
      <c r="D141" s="295"/>
      <c r="E141" s="295"/>
      <c r="F141" s="295"/>
      <c r="G141" s="295"/>
      <c r="H141" s="295"/>
      <c r="I141" s="295"/>
      <c r="J141" s="295"/>
      <c r="K141" s="295"/>
      <c r="L141" s="295"/>
      <c r="M141" s="295"/>
      <c r="N141" s="295"/>
      <c r="O141" s="295"/>
      <c r="P141" s="295"/>
    </row>
    <row r="142" spans="2:16" x14ac:dyDescent="0.2">
      <c r="B142" s="726" t="s">
        <v>159</v>
      </c>
      <c r="C142" s="296" t="s">
        <v>372</v>
      </c>
      <c r="D142" s="297">
        <f>+Ingresos!C133</f>
        <v>3145.78</v>
      </c>
      <c r="E142" s="297">
        <f>+Ingresos!D133</f>
        <v>3145.78</v>
      </c>
      <c r="F142" s="297">
        <f>+Ingresos!E133</f>
        <v>3145.78</v>
      </c>
      <c r="G142" s="297">
        <f>+Ingresos!F133</f>
        <v>3145.78</v>
      </c>
      <c r="H142" s="297">
        <f>+Ingresos!G133</f>
        <v>3145.78</v>
      </c>
      <c r="I142" s="297">
        <f>+Ingresos!H133</f>
        <v>3145.78</v>
      </c>
      <c r="J142" s="297">
        <f>+Ingresos!I133</f>
        <v>3145.78</v>
      </c>
      <c r="K142" s="297">
        <f>+Ingresos!J133</f>
        <v>3145.78</v>
      </c>
      <c r="L142" s="297">
        <f>+Ingresos!K133</f>
        <v>3145.78</v>
      </c>
      <c r="M142" s="297">
        <f>+Ingresos!L133</f>
        <v>3145.78</v>
      </c>
      <c r="N142" s="297">
        <f>+Ingresos!M133</f>
        <v>3145.78</v>
      </c>
      <c r="O142" s="297">
        <f>+Ingresos!N133</f>
        <v>3145.78</v>
      </c>
      <c r="P142" s="298">
        <f>SUM(D142:O142)</f>
        <v>37749.359999999993</v>
      </c>
    </row>
    <row r="143" spans="2:16" x14ac:dyDescent="0.2">
      <c r="B143" s="726" t="s">
        <v>309</v>
      </c>
      <c r="C143" s="300" t="s">
        <v>45</v>
      </c>
      <c r="D143" s="278">
        <f>Ingresos!C136*0.65</f>
        <v>1467.1799999999998</v>
      </c>
      <c r="E143" s="301">
        <f>+D143</f>
        <v>1467.1799999999998</v>
      </c>
      <c r="F143" s="301">
        <f t="shared" ref="F143:O143" si="92">+E143</f>
        <v>1467.1799999999998</v>
      </c>
      <c r="G143" s="301">
        <f t="shared" si="92"/>
        <v>1467.1799999999998</v>
      </c>
      <c r="H143" s="301">
        <f t="shared" si="92"/>
        <v>1467.1799999999998</v>
      </c>
      <c r="I143" s="301">
        <f t="shared" si="92"/>
        <v>1467.1799999999998</v>
      </c>
      <c r="J143" s="301">
        <f t="shared" si="92"/>
        <v>1467.1799999999998</v>
      </c>
      <c r="K143" s="301">
        <f t="shared" si="92"/>
        <v>1467.1799999999998</v>
      </c>
      <c r="L143" s="301">
        <f t="shared" si="92"/>
        <v>1467.1799999999998</v>
      </c>
      <c r="M143" s="301">
        <f t="shared" si="92"/>
        <v>1467.1799999999998</v>
      </c>
      <c r="N143" s="301">
        <f t="shared" si="92"/>
        <v>1467.1799999999998</v>
      </c>
      <c r="O143" s="301">
        <f t="shared" si="92"/>
        <v>1467.1799999999998</v>
      </c>
      <c r="P143" s="302">
        <f>+O143</f>
        <v>1467.1799999999998</v>
      </c>
    </row>
    <row r="144" spans="2:16" ht="15" x14ac:dyDescent="0.25">
      <c r="B144" s="727" t="s">
        <v>315</v>
      </c>
      <c r="C144" s="300" t="s">
        <v>45</v>
      </c>
      <c r="D144" s="304">
        <f>D142*D143</f>
        <v>4615425.5003999993</v>
      </c>
      <c r="E144" s="304">
        <f t="shared" ref="E144:O144" si="93">E142*E143</f>
        <v>4615425.5003999993</v>
      </c>
      <c r="F144" s="304">
        <f t="shared" si="93"/>
        <v>4615425.5003999993</v>
      </c>
      <c r="G144" s="304">
        <f t="shared" si="93"/>
        <v>4615425.5003999993</v>
      </c>
      <c r="H144" s="304">
        <f t="shared" si="93"/>
        <v>4615425.5003999993</v>
      </c>
      <c r="I144" s="304">
        <f t="shared" si="93"/>
        <v>4615425.5003999993</v>
      </c>
      <c r="J144" s="304">
        <f t="shared" si="93"/>
        <v>4615425.5003999993</v>
      </c>
      <c r="K144" s="304">
        <f t="shared" si="93"/>
        <v>4615425.5003999993</v>
      </c>
      <c r="L144" s="304">
        <f t="shared" si="93"/>
        <v>4615425.5003999993</v>
      </c>
      <c r="M144" s="304">
        <f t="shared" si="93"/>
        <v>4615425.5003999993</v>
      </c>
      <c r="N144" s="304">
        <f t="shared" si="93"/>
        <v>4615425.5003999993</v>
      </c>
      <c r="O144" s="304">
        <f t="shared" si="93"/>
        <v>4615425.5003999993</v>
      </c>
      <c r="P144" s="305">
        <f>SUM(D144:O144)</f>
        <v>55385106.004799992</v>
      </c>
    </row>
    <row r="145" spans="2:16" x14ac:dyDescent="0.2">
      <c r="B145" s="726" t="s">
        <v>310</v>
      </c>
      <c r="C145" s="300" t="s">
        <v>45</v>
      </c>
      <c r="D145" s="278">
        <v>109.96</v>
      </c>
      <c r="E145" s="301">
        <f>+D145</f>
        <v>109.96</v>
      </c>
      <c r="F145" s="301">
        <f t="shared" ref="F145:O145" si="94">+E145</f>
        <v>109.96</v>
      </c>
      <c r="G145" s="301">
        <f t="shared" si="94"/>
        <v>109.96</v>
      </c>
      <c r="H145" s="301">
        <f t="shared" si="94"/>
        <v>109.96</v>
      </c>
      <c r="I145" s="301">
        <f t="shared" si="94"/>
        <v>109.96</v>
      </c>
      <c r="J145" s="301">
        <f t="shared" si="94"/>
        <v>109.96</v>
      </c>
      <c r="K145" s="301">
        <f t="shared" si="94"/>
        <v>109.96</v>
      </c>
      <c r="L145" s="301">
        <f t="shared" si="94"/>
        <v>109.96</v>
      </c>
      <c r="M145" s="301">
        <f t="shared" si="94"/>
        <v>109.96</v>
      </c>
      <c r="N145" s="301">
        <f t="shared" si="94"/>
        <v>109.96</v>
      </c>
      <c r="O145" s="301">
        <f t="shared" si="94"/>
        <v>109.96</v>
      </c>
      <c r="P145" s="302">
        <f>+O145</f>
        <v>109.96</v>
      </c>
    </row>
    <row r="146" spans="2:16" ht="15" x14ac:dyDescent="0.25">
      <c r="B146" s="727" t="s">
        <v>315</v>
      </c>
      <c r="C146" s="300" t="s">
        <v>45</v>
      </c>
      <c r="D146" s="304">
        <f>D142*D145</f>
        <v>345909.96879999997</v>
      </c>
      <c r="E146" s="304">
        <f t="shared" ref="E146:O146" si="95">E142*E145</f>
        <v>345909.96879999997</v>
      </c>
      <c r="F146" s="304">
        <f t="shared" si="95"/>
        <v>345909.96879999997</v>
      </c>
      <c r="G146" s="304">
        <f t="shared" si="95"/>
        <v>345909.96879999997</v>
      </c>
      <c r="H146" s="304">
        <f t="shared" si="95"/>
        <v>345909.96879999997</v>
      </c>
      <c r="I146" s="304">
        <f t="shared" si="95"/>
        <v>345909.96879999997</v>
      </c>
      <c r="J146" s="304">
        <f t="shared" si="95"/>
        <v>345909.96879999997</v>
      </c>
      <c r="K146" s="304">
        <f t="shared" si="95"/>
        <v>345909.96879999997</v>
      </c>
      <c r="L146" s="304">
        <f t="shared" si="95"/>
        <v>345909.96879999997</v>
      </c>
      <c r="M146" s="304">
        <f t="shared" si="95"/>
        <v>345909.96879999997</v>
      </c>
      <c r="N146" s="304">
        <f t="shared" si="95"/>
        <v>345909.96879999997</v>
      </c>
      <c r="O146" s="304">
        <f t="shared" si="95"/>
        <v>345909.96879999997</v>
      </c>
      <c r="P146" s="305">
        <f>SUM(D146:O146)</f>
        <v>4150919.6255999994</v>
      </c>
    </row>
    <row r="147" spans="2:16" x14ac:dyDescent="0.2">
      <c r="B147" s="726" t="s">
        <v>311</v>
      </c>
      <c r="C147" s="300" t="s">
        <v>45</v>
      </c>
      <c r="D147" s="278"/>
      <c r="E147" s="301">
        <f>+D147</f>
        <v>0</v>
      </c>
      <c r="F147" s="301">
        <f t="shared" ref="F147:O147" si="96">+E147</f>
        <v>0</v>
      </c>
      <c r="G147" s="301">
        <f t="shared" si="96"/>
        <v>0</v>
      </c>
      <c r="H147" s="301">
        <f t="shared" si="96"/>
        <v>0</v>
      </c>
      <c r="I147" s="301">
        <f t="shared" si="96"/>
        <v>0</v>
      </c>
      <c r="J147" s="301">
        <f t="shared" si="96"/>
        <v>0</v>
      </c>
      <c r="K147" s="301">
        <f t="shared" si="96"/>
        <v>0</v>
      </c>
      <c r="L147" s="301">
        <f t="shared" si="96"/>
        <v>0</v>
      </c>
      <c r="M147" s="301">
        <f t="shared" si="96"/>
        <v>0</v>
      </c>
      <c r="N147" s="301">
        <f t="shared" si="96"/>
        <v>0</v>
      </c>
      <c r="O147" s="301">
        <f t="shared" si="96"/>
        <v>0</v>
      </c>
      <c r="P147" s="302">
        <f>+O147</f>
        <v>0</v>
      </c>
    </row>
    <row r="148" spans="2:16" ht="15" x14ac:dyDescent="0.25">
      <c r="B148" s="727" t="s">
        <v>315</v>
      </c>
      <c r="C148" s="300" t="s">
        <v>45</v>
      </c>
      <c r="D148" s="304">
        <f>D142*(D147)</f>
        <v>0</v>
      </c>
      <c r="E148" s="304">
        <f t="shared" ref="E148:O148" si="97">E142*(E147)</f>
        <v>0</v>
      </c>
      <c r="F148" s="304">
        <f t="shared" si="97"/>
        <v>0</v>
      </c>
      <c r="G148" s="304">
        <f t="shared" si="97"/>
        <v>0</v>
      </c>
      <c r="H148" s="304">
        <f t="shared" si="97"/>
        <v>0</v>
      </c>
      <c r="I148" s="304">
        <f t="shared" si="97"/>
        <v>0</v>
      </c>
      <c r="J148" s="304">
        <f t="shared" si="97"/>
        <v>0</v>
      </c>
      <c r="K148" s="304">
        <f t="shared" si="97"/>
        <v>0</v>
      </c>
      <c r="L148" s="304">
        <f t="shared" si="97"/>
        <v>0</v>
      </c>
      <c r="M148" s="304">
        <f t="shared" si="97"/>
        <v>0</v>
      </c>
      <c r="N148" s="304">
        <f t="shared" si="97"/>
        <v>0</v>
      </c>
      <c r="O148" s="304">
        <f t="shared" si="97"/>
        <v>0</v>
      </c>
      <c r="P148" s="305">
        <f>SUM(D148:O148)</f>
        <v>0</v>
      </c>
    </row>
    <row r="149" spans="2:16" ht="15" x14ac:dyDescent="0.25">
      <c r="B149" s="728" t="str">
        <f>+Ingresos!B140</f>
        <v>Papa criolla</v>
      </c>
      <c r="C149" s="294"/>
      <c r="D149" s="295"/>
      <c r="E149" s="295"/>
      <c r="F149" s="295"/>
      <c r="G149" s="295"/>
      <c r="H149" s="295"/>
      <c r="I149" s="295"/>
      <c r="J149" s="295"/>
      <c r="K149" s="295"/>
      <c r="L149" s="295"/>
      <c r="M149" s="295"/>
      <c r="N149" s="295"/>
      <c r="O149" s="295"/>
      <c r="P149" s="295"/>
    </row>
    <row r="150" spans="2:16" x14ac:dyDescent="0.2">
      <c r="B150" s="726" t="s">
        <v>159</v>
      </c>
      <c r="C150" s="296" t="s">
        <v>372</v>
      </c>
      <c r="D150" s="297">
        <f>+Ingresos!C141</f>
        <v>1509.97</v>
      </c>
      <c r="E150" s="297">
        <f>+Ingresos!D141</f>
        <v>1509.97</v>
      </c>
      <c r="F150" s="297">
        <f>+Ingresos!E141</f>
        <v>1509.97</v>
      </c>
      <c r="G150" s="297">
        <f>+Ingresos!F141</f>
        <v>1509.97</v>
      </c>
      <c r="H150" s="297">
        <f>+Ingresos!G141</f>
        <v>1509.97</v>
      </c>
      <c r="I150" s="297">
        <f>+Ingresos!H141</f>
        <v>1509.97</v>
      </c>
      <c r="J150" s="297">
        <f>+Ingresos!I141</f>
        <v>1509.97</v>
      </c>
      <c r="K150" s="297">
        <f>+Ingresos!J141</f>
        <v>1509.97</v>
      </c>
      <c r="L150" s="297">
        <f>+Ingresos!K141</f>
        <v>1509.97</v>
      </c>
      <c r="M150" s="297">
        <f>+Ingresos!L141</f>
        <v>1509.97</v>
      </c>
      <c r="N150" s="297">
        <f>+Ingresos!M141</f>
        <v>1509.97</v>
      </c>
      <c r="O150" s="297">
        <f>+Ingresos!N141</f>
        <v>1509.97</v>
      </c>
      <c r="P150" s="298">
        <f>SUM(D150:O150)</f>
        <v>18119.64</v>
      </c>
    </row>
    <row r="151" spans="2:16" x14ac:dyDescent="0.2">
      <c r="B151" s="726" t="s">
        <v>309</v>
      </c>
      <c r="C151" s="300" t="s">
        <v>45</v>
      </c>
      <c r="D151" s="278">
        <f>Ingresos!C144*0.65</f>
        <v>1934.0100000000002</v>
      </c>
      <c r="E151" s="301">
        <f>+D151</f>
        <v>1934.0100000000002</v>
      </c>
      <c r="F151" s="301">
        <f t="shared" ref="F151:O151" si="98">+E151</f>
        <v>1934.0100000000002</v>
      </c>
      <c r="G151" s="301">
        <f t="shared" si="98"/>
        <v>1934.0100000000002</v>
      </c>
      <c r="H151" s="301">
        <f t="shared" si="98"/>
        <v>1934.0100000000002</v>
      </c>
      <c r="I151" s="301">
        <f t="shared" si="98"/>
        <v>1934.0100000000002</v>
      </c>
      <c r="J151" s="301">
        <f t="shared" si="98"/>
        <v>1934.0100000000002</v>
      </c>
      <c r="K151" s="301">
        <f t="shared" si="98"/>
        <v>1934.0100000000002</v>
      </c>
      <c r="L151" s="301">
        <f t="shared" si="98"/>
        <v>1934.0100000000002</v>
      </c>
      <c r="M151" s="301">
        <f t="shared" si="98"/>
        <v>1934.0100000000002</v>
      </c>
      <c r="N151" s="301">
        <f t="shared" si="98"/>
        <v>1934.0100000000002</v>
      </c>
      <c r="O151" s="301">
        <f t="shared" si="98"/>
        <v>1934.0100000000002</v>
      </c>
      <c r="P151" s="302">
        <f>+O151</f>
        <v>1934.0100000000002</v>
      </c>
    </row>
    <row r="152" spans="2:16" ht="15" x14ac:dyDescent="0.25">
      <c r="B152" s="727" t="s">
        <v>315</v>
      </c>
      <c r="C152" s="300" t="s">
        <v>45</v>
      </c>
      <c r="D152" s="304">
        <f>D150*D151</f>
        <v>2920297.0797000006</v>
      </c>
      <c r="E152" s="304">
        <f t="shared" ref="E152:O152" si="99">E150*E151</f>
        <v>2920297.0797000006</v>
      </c>
      <c r="F152" s="304">
        <f t="shared" si="99"/>
        <v>2920297.0797000006</v>
      </c>
      <c r="G152" s="304">
        <f t="shared" si="99"/>
        <v>2920297.0797000006</v>
      </c>
      <c r="H152" s="304">
        <f t="shared" si="99"/>
        <v>2920297.0797000006</v>
      </c>
      <c r="I152" s="304">
        <f t="shared" si="99"/>
        <v>2920297.0797000006</v>
      </c>
      <c r="J152" s="304">
        <f t="shared" si="99"/>
        <v>2920297.0797000006</v>
      </c>
      <c r="K152" s="304">
        <f t="shared" si="99"/>
        <v>2920297.0797000006</v>
      </c>
      <c r="L152" s="304">
        <f t="shared" si="99"/>
        <v>2920297.0797000006</v>
      </c>
      <c r="M152" s="304">
        <f t="shared" si="99"/>
        <v>2920297.0797000006</v>
      </c>
      <c r="N152" s="304">
        <f t="shared" si="99"/>
        <v>2920297.0797000006</v>
      </c>
      <c r="O152" s="304">
        <f t="shared" si="99"/>
        <v>2920297.0797000006</v>
      </c>
      <c r="P152" s="305">
        <f>SUM(D152:O152)</f>
        <v>35043564.956400007</v>
      </c>
    </row>
    <row r="153" spans="2:16" x14ac:dyDescent="0.2">
      <c r="B153" s="726" t="s">
        <v>310</v>
      </c>
      <c r="C153" s="300" t="s">
        <v>45</v>
      </c>
      <c r="D153" s="278">
        <v>249.66</v>
      </c>
      <c r="E153" s="301">
        <f>+D153</f>
        <v>249.66</v>
      </c>
      <c r="F153" s="301">
        <f t="shared" ref="F153:O153" si="100">+E153</f>
        <v>249.66</v>
      </c>
      <c r="G153" s="301">
        <f t="shared" si="100"/>
        <v>249.66</v>
      </c>
      <c r="H153" s="301">
        <f t="shared" si="100"/>
        <v>249.66</v>
      </c>
      <c r="I153" s="301">
        <f t="shared" si="100"/>
        <v>249.66</v>
      </c>
      <c r="J153" s="301">
        <f t="shared" si="100"/>
        <v>249.66</v>
      </c>
      <c r="K153" s="301">
        <f t="shared" si="100"/>
        <v>249.66</v>
      </c>
      <c r="L153" s="301">
        <f t="shared" si="100"/>
        <v>249.66</v>
      </c>
      <c r="M153" s="301">
        <f t="shared" si="100"/>
        <v>249.66</v>
      </c>
      <c r="N153" s="301">
        <f t="shared" si="100"/>
        <v>249.66</v>
      </c>
      <c r="O153" s="301">
        <f t="shared" si="100"/>
        <v>249.66</v>
      </c>
      <c r="P153" s="302">
        <f>+O153</f>
        <v>249.66</v>
      </c>
    </row>
    <row r="154" spans="2:16" ht="15" x14ac:dyDescent="0.25">
      <c r="B154" s="727" t="s">
        <v>315</v>
      </c>
      <c r="C154" s="300" t="s">
        <v>45</v>
      </c>
      <c r="D154" s="304">
        <f>D150*D153</f>
        <v>376979.1102</v>
      </c>
      <c r="E154" s="304">
        <f t="shared" ref="E154:O154" si="101">E150*E153</f>
        <v>376979.1102</v>
      </c>
      <c r="F154" s="304">
        <f t="shared" si="101"/>
        <v>376979.1102</v>
      </c>
      <c r="G154" s="304">
        <f t="shared" si="101"/>
        <v>376979.1102</v>
      </c>
      <c r="H154" s="304">
        <f t="shared" si="101"/>
        <v>376979.1102</v>
      </c>
      <c r="I154" s="304">
        <f t="shared" si="101"/>
        <v>376979.1102</v>
      </c>
      <c r="J154" s="304">
        <f t="shared" si="101"/>
        <v>376979.1102</v>
      </c>
      <c r="K154" s="304">
        <f t="shared" si="101"/>
        <v>376979.1102</v>
      </c>
      <c r="L154" s="304">
        <f t="shared" si="101"/>
        <v>376979.1102</v>
      </c>
      <c r="M154" s="304">
        <f t="shared" si="101"/>
        <v>376979.1102</v>
      </c>
      <c r="N154" s="304">
        <f t="shared" si="101"/>
        <v>376979.1102</v>
      </c>
      <c r="O154" s="304">
        <f t="shared" si="101"/>
        <v>376979.1102</v>
      </c>
      <c r="P154" s="305">
        <f>SUM(D154:O154)</f>
        <v>4523749.3223999999</v>
      </c>
    </row>
    <row r="155" spans="2:16" x14ac:dyDescent="0.2">
      <c r="B155" s="726" t="s">
        <v>311</v>
      </c>
      <c r="C155" s="300" t="s">
        <v>45</v>
      </c>
      <c r="D155" s="278"/>
      <c r="E155" s="301">
        <f>+D155</f>
        <v>0</v>
      </c>
      <c r="F155" s="301">
        <f t="shared" ref="F155:O155" si="102">+E155</f>
        <v>0</v>
      </c>
      <c r="G155" s="301">
        <f t="shared" si="102"/>
        <v>0</v>
      </c>
      <c r="H155" s="301">
        <f t="shared" si="102"/>
        <v>0</v>
      </c>
      <c r="I155" s="301">
        <f t="shared" si="102"/>
        <v>0</v>
      </c>
      <c r="J155" s="301">
        <f t="shared" si="102"/>
        <v>0</v>
      </c>
      <c r="K155" s="301">
        <f t="shared" si="102"/>
        <v>0</v>
      </c>
      <c r="L155" s="301">
        <f t="shared" si="102"/>
        <v>0</v>
      </c>
      <c r="M155" s="301">
        <f t="shared" si="102"/>
        <v>0</v>
      </c>
      <c r="N155" s="301">
        <f t="shared" si="102"/>
        <v>0</v>
      </c>
      <c r="O155" s="301">
        <f t="shared" si="102"/>
        <v>0</v>
      </c>
      <c r="P155" s="302">
        <f>+O155</f>
        <v>0</v>
      </c>
    </row>
    <row r="156" spans="2:16" ht="15" x14ac:dyDescent="0.25">
      <c r="B156" s="727" t="s">
        <v>315</v>
      </c>
      <c r="C156" s="300" t="s">
        <v>45</v>
      </c>
      <c r="D156" s="304">
        <f>D150*(D155)</f>
        <v>0</v>
      </c>
      <c r="E156" s="304">
        <f t="shared" ref="E156:O156" si="103">E150*(E155)</f>
        <v>0</v>
      </c>
      <c r="F156" s="304">
        <f t="shared" si="103"/>
        <v>0</v>
      </c>
      <c r="G156" s="304">
        <f t="shared" si="103"/>
        <v>0</v>
      </c>
      <c r="H156" s="304">
        <f t="shared" si="103"/>
        <v>0</v>
      </c>
      <c r="I156" s="304">
        <f t="shared" si="103"/>
        <v>0</v>
      </c>
      <c r="J156" s="304">
        <f t="shared" si="103"/>
        <v>0</v>
      </c>
      <c r="K156" s="304">
        <f t="shared" si="103"/>
        <v>0</v>
      </c>
      <c r="L156" s="304">
        <f t="shared" si="103"/>
        <v>0</v>
      </c>
      <c r="M156" s="304">
        <f t="shared" si="103"/>
        <v>0</v>
      </c>
      <c r="N156" s="304">
        <f t="shared" si="103"/>
        <v>0</v>
      </c>
      <c r="O156" s="304">
        <f t="shared" si="103"/>
        <v>0</v>
      </c>
      <c r="P156" s="305">
        <f>SUM(D156:O156)</f>
        <v>0</v>
      </c>
    </row>
    <row r="157" spans="2:16" ht="15" x14ac:dyDescent="0.25">
      <c r="B157" s="293" t="str">
        <f>+Ingresos!B148</f>
        <v>Pepino cohombro</v>
      </c>
      <c r="C157" s="294"/>
      <c r="D157" s="295"/>
      <c r="E157" s="295"/>
      <c r="F157" s="295"/>
      <c r="G157" s="295"/>
      <c r="H157" s="295"/>
      <c r="I157" s="295"/>
      <c r="J157" s="295"/>
      <c r="K157" s="295"/>
      <c r="L157" s="295"/>
      <c r="M157" s="295"/>
      <c r="N157" s="295"/>
      <c r="O157" s="295"/>
      <c r="P157" s="295"/>
    </row>
    <row r="158" spans="2:16" x14ac:dyDescent="0.2">
      <c r="B158" s="726" t="s">
        <v>159</v>
      </c>
      <c r="C158" s="296" t="s">
        <v>372</v>
      </c>
      <c r="D158" s="297">
        <f>+Ingresos!C149</f>
        <v>290.38</v>
      </c>
      <c r="E158" s="297">
        <f>+Ingresos!D149</f>
        <v>290.38</v>
      </c>
      <c r="F158" s="297">
        <f>+Ingresos!E149</f>
        <v>290.38</v>
      </c>
      <c r="G158" s="297">
        <f>+Ingresos!F149</f>
        <v>290.38</v>
      </c>
      <c r="H158" s="297">
        <f>+Ingresos!G149</f>
        <v>290.38</v>
      </c>
      <c r="I158" s="297">
        <f>+Ingresos!H149</f>
        <v>290.38</v>
      </c>
      <c r="J158" s="297">
        <f>+Ingresos!I149</f>
        <v>290.38</v>
      </c>
      <c r="K158" s="297">
        <f>+Ingresos!J149</f>
        <v>290.38</v>
      </c>
      <c r="L158" s="297">
        <f>+Ingresos!K149</f>
        <v>290.38</v>
      </c>
      <c r="M158" s="297">
        <f>+Ingresos!L149</f>
        <v>290.38</v>
      </c>
      <c r="N158" s="297">
        <f>+Ingresos!M149</f>
        <v>290.38</v>
      </c>
      <c r="O158" s="297">
        <f>+Ingresos!N149</f>
        <v>290.38</v>
      </c>
      <c r="P158" s="298">
        <f>SUM(D158:O158)</f>
        <v>3484.5600000000009</v>
      </c>
    </row>
    <row r="159" spans="2:16" x14ac:dyDescent="0.2">
      <c r="B159" s="726" t="s">
        <v>309</v>
      </c>
      <c r="C159" s="300" t="s">
        <v>45</v>
      </c>
      <c r="D159" s="278">
        <f>Ingresos!C152*0.65</f>
        <v>600.21</v>
      </c>
      <c r="E159" s="301">
        <f>+D159</f>
        <v>600.21</v>
      </c>
      <c r="F159" s="301">
        <f t="shared" ref="F159:O159" si="104">+E159</f>
        <v>600.21</v>
      </c>
      <c r="G159" s="301">
        <f t="shared" si="104"/>
        <v>600.21</v>
      </c>
      <c r="H159" s="301">
        <f t="shared" si="104"/>
        <v>600.21</v>
      </c>
      <c r="I159" s="301">
        <f t="shared" si="104"/>
        <v>600.21</v>
      </c>
      <c r="J159" s="301">
        <f t="shared" si="104"/>
        <v>600.21</v>
      </c>
      <c r="K159" s="301">
        <f t="shared" si="104"/>
        <v>600.21</v>
      </c>
      <c r="L159" s="301">
        <f t="shared" si="104"/>
        <v>600.21</v>
      </c>
      <c r="M159" s="301">
        <f t="shared" si="104"/>
        <v>600.21</v>
      </c>
      <c r="N159" s="301">
        <f t="shared" si="104"/>
        <v>600.21</v>
      </c>
      <c r="O159" s="301">
        <f t="shared" si="104"/>
        <v>600.21</v>
      </c>
      <c r="P159" s="302">
        <f>+O159</f>
        <v>600.21</v>
      </c>
    </row>
    <row r="160" spans="2:16" ht="15" x14ac:dyDescent="0.25">
      <c r="B160" s="727" t="s">
        <v>315</v>
      </c>
      <c r="C160" s="300" t="s">
        <v>45</v>
      </c>
      <c r="D160" s="304">
        <f>D158*D159</f>
        <v>174288.9798</v>
      </c>
      <c r="E160" s="304">
        <f t="shared" ref="E160:O160" si="105">E158*E159</f>
        <v>174288.9798</v>
      </c>
      <c r="F160" s="304">
        <f t="shared" si="105"/>
        <v>174288.9798</v>
      </c>
      <c r="G160" s="304">
        <f t="shared" si="105"/>
        <v>174288.9798</v>
      </c>
      <c r="H160" s="304">
        <f t="shared" si="105"/>
        <v>174288.9798</v>
      </c>
      <c r="I160" s="304">
        <f t="shared" si="105"/>
        <v>174288.9798</v>
      </c>
      <c r="J160" s="304">
        <f t="shared" si="105"/>
        <v>174288.9798</v>
      </c>
      <c r="K160" s="304">
        <f t="shared" si="105"/>
        <v>174288.9798</v>
      </c>
      <c r="L160" s="304">
        <f t="shared" si="105"/>
        <v>174288.9798</v>
      </c>
      <c r="M160" s="304">
        <f t="shared" si="105"/>
        <v>174288.9798</v>
      </c>
      <c r="N160" s="304">
        <f t="shared" si="105"/>
        <v>174288.9798</v>
      </c>
      <c r="O160" s="304">
        <f t="shared" si="105"/>
        <v>174288.9798</v>
      </c>
      <c r="P160" s="305">
        <f>SUM(D160:O160)</f>
        <v>2091467.7576000004</v>
      </c>
    </row>
    <row r="161" spans="2:16" x14ac:dyDescent="0.2">
      <c r="B161" s="726" t="s">
        <v>310</v>
      </c>
      <c r="C161" s="300" t="s">
        <v>45</v>
      </c>
      <c r="D161" s="278">
        <v>21.76</v>
      </c>
      <c r="E161" s="301">
        <f>+D161</f>
        <v>21.76</v>
      </c>
      <c r="F161" s="301">
        <f t="shared" ref="F161:O161" si="106">+E161</f>
        <v>21.76</v>
      </c>
      <c r="G161" s="301">
        <f t="shared" si="106"/>
        <v>21.76</v>
      </c>
      <c r="H161" s="301">
        <f t="shared" si="106"/>
        <v>21.76</v>
      </c>
      <c r="I161" s="301">
        <f t="shared" si="106"/>
        <v>21.76</v>
      </c>
      <c r="J161" s="301">
        <f t="shared" si="106"/>
        <v>21.76</v>
      </c>
      <c r="K161" s="301">
        <f t="shared" si="106"/>
        <v>21.76</v>
      </c>
      <c r="L161" s="301">
        <f t="shared" si="106"/>
        <v>21.76</v>
      </c>
      <c r="M161" s="301">
        <f t="shared" si="106"/>
        <v>21.76</v>
      </c>
      <c r="N161" s="301">
        <f t="shared" si="106"/>
        <v>21.76</v>
      </c>
      <c r="O161" s="301">
        <f t="shared" si="106"/>
        <v>21.76</v>
      </c>
      <c r="P161" s="302">
        <f>+O161</f>
        <v>21.76</v>
      </c>
    </row>
    <row r="162" spans="2:16" ht="15" x14ac:dyDescent="0.25">
      <c r="B162" s="727" t="s">
        <v>315</v>
      </c>
      <c r="C162" s="300" t="s">
        <v>45</v>
      </c>
      <c r="D162" s="304">
        <f>D158*D161</f>
        <v>6318.6688000000004</v>
      </c>
      <c r="E162" s="304">
        <f t="shared" ref="E162:O162" si="107">E158*E161</f>
        <v>6318.6688000000004</v>
      </c>
      <c r="F162" s="304">
        <f t="shared" si="107"/>
        <v>6318.6688000000004</v>
      </c>
      <c r="G162" s="304">
        <f t="shared" si="107"/>
        <v>6318.6688000000004</v>
      </c>
      <c r="H162" s="304">
        <f t="shared" si="107"/>
        <v>6318.6688000000004</v>
      </c>
      <c r="I162" s="304">
        <f t="shared" si="107"/>
        <v>6318.6688000000004</v>
      </c>
      <c r="J162" s="304">
        <f t="shared" si="107"/>
        <v>6318.6688000000004</v>
      </c>
      <c r="K162" s="304">
        <f t="shared" si="107"/>
        <v>6318.6688000000004</v>
      </c>
      <c r="L162" s="304">
        <f t="shared" si="107"/>
        <v>6318.6688000000004</v>
      </c>
      <c r="M162" s="304">
        <f t="shared" si="107"/>
        <v>6318.6688000000004</v>
      </c>
      <c r="N162" s="304">
        <f t="shared" si="107"/>
        <v>6318.6688000000004</v>
      </c>
      <c r="O162" s="304">
        <f t="shared" si="107"/>
        <v>6318.6688000000004</v>
      </c>
      <c r="P162" s="305">
        <f>SUM(D162:O162)</f>
        <v>75824.025600000008</v>
      </c>
    </row>
    <row r="163" spans="2:16" x14ac:dyDescent="0.2">
      <c r="B163" s="726" t="s">
        <v>311</v>
      </c>
      <c r="C163" s="300" t="s">
        <v>45</v>
      </c>
      <c r="D163" s="278"/>
      <c r="E163" s="301">
        <f>+D163</f>
        <v>0</v>
      </c>
      <c r="F163" s="301">
        <f t="shared" ref="F163:O163" si="108">+E163</f>
        <v>0</v>
      </c>
      <c r="G163" s="301">
        <f t="shared" si="108"/>
        <v>0</v>
      </c>
      <c r="H163" s="301">
        <f t="shared" si="108"/>
        <v>0</v>
      </c>
      <c r="I163" s="301">
        <f t="shared" si="108"/>
        <v>0</v>
      </c>
      <c r="J163" s="301">
        <f t="shared" si="108"/>
        <v>0</v>
      </c>
      <c r="K163" s="301">
        <f t="shared" si="108"/>
        <v>0</v>
      </c>
      <c r="L163" s="301">
        <f t="shared" si="108"/>
        <v>0</v>
      </c>
      <c r="M163" s="301">
        <f t="shared" si="108"/>
        <v>0</v>
      </c>
      <c r="N163" s="301">
        <f t="shared" si="108"/>
        <v>0</v>
      </c>
      <c r="O163" s="301">
        <f t="shared" si="108"/>
        <v>0</v>
      </c>
      <c r="P163" s="302">
        <f>+O163</f>
        <v>0</v>
      </c>
    </row>
    <row r="164" spans="2:16" ht="15" x14ac:dyDescent="0.25">
      <c r="B164" s="727" t="s">
        <v>315</v>
      </c>
      <c r="C164" s="300" t="s">
        <v>45</v>
      </c>
      <c r="D164" s="304">
        <f>D158*(D163)</f>
        <v>0</v>
      </c>
      <c r="E164" s="304">
        <f t="shared" ref="E164:O164" si="109">E158*(E163)</f>
        <v>0</v>
      </c>
      <c r="F164" s="304">
        <f t="shared" si="109"/>
        <v>0</v>
      </c>
      <c r="G164" s="304">
        <f t="shared" si="109"/>
        <v>0</v>
      </c>
      <c r="H164" s="304">
        <f t="shared" si="109"/>
        <v>0</v>
      </c>
      <c r="I164" s="304">
        <f t="shared" si="109"/>
        <v>0</v>
      </c>
      <c r="J164" s="304">
        <f t="shared" si="109"/>
        <v>0</v>
      </c>
      <c r="K164" s="304">
        <f t="shared" si="109"/>
        <v>0</v>
      </c>
      <c r="L164" s="304">
        <f t="shared" si="109"/>
        <v>0</v>
      </c>
      <c r="M164" s="304">
        <f t="shared" si="109"/>
        <v>0</v>
      </c>
      <c r="N164" s="304">
        <f t="shared" si="109"/>
        <v>0</v>
      </c>
      <c r="O164" s="304">
        <f t="shared" si="109"/>
        <v>0</v>
      </c>
      <c r="P164" s="305">
        <f>SUM(D164:O164)</f>
        <v>0</v>
      </c>
    </row>
    <row r="165" spans="2:16" ht="15" x14ac:dyDescent="0.25">
      <c r="B165" s="293" t="str">
        <f>+Ingresos!B156</f>
        <v>Perejil</v>
      </c>
      <c r="C165" s="294"/>
      <c r="D165" s="295"/>
      <c r="E165" s="295"/>
      <c r="F165" s="295"/>
      <c r="G165" s="295"/>
      <c r="H165" s="295"/>
      <c r="I165" s="295"/>
      <c r="J165" s="295"/>
      <c r="K165" s="295"/>
      <c r="L165" s="295"/>
      <c r="M165" s="295"/>
      <c r="N165" s="295"/>
      <c r="O165" s="295"/>
      <c r="P165" s="295"/>
    </row>
    <row r="166" spans="2:16" x14ac:dyDescent="0.2">
      <c r="B166" s="726" t="s">
        <v>159</v>
      </c>
      <c r="C166" s="296" t="s">
        <v>372</v>
      </c>
      <c r="D166" s="297">
        <f>+Ingresos!C157</f>
        <v>251.66</v>
      </c>
      <c r="E166" s="297">
        <f>+Ingresos!D157</f>
        <v>251.66</v>
      </c>
      <c r="F166" s="297">
        <f>+Ingresos!E157</f>
        <v>251.66</v>
      </c>
      <c r="G166" s="297">
        <f>+Ingresos!F157</f>
        <v>251.66</v>
      </c>
      <c r="H166" s="297">
        <f>+Ingresos!G157</f>
        <v>251.66</v>
      </c>
      <c r="I166" s="297">
        <f>+Ingresos!H157</f>
        <v>251.66</v>
      </c>
      <c r="J166" s="297">
        <f>+Ingresos!I157</f>
        <v>251.66</v>
      </c>
      <c r="K166" s="297">
        <f>+Ingresos!J157</f>
        <v>251.66</v>
      </c>
      <c r="L166" s="297">
        <f>+Ingresos!K157</f>
        <v>251.66</v>
      </c>
      <c r="M166" s="297">
        <f>+Ingresos!L157</f>
        <v>251.66</v>
      </c>
      <c r="N166" s="297">
        <f>+Ingresos!M157</f>
        <v>251.66</v>
      </c>
      <c r="O166" s="297">
        <f>+Ingresos!N157</f>
        <v>251.66</v>
      </c>
      <c r="P166" s="298">
        <f>SUM(D166:O166)</f>
        <v>3019.9199999999996</v>
      </c>
    </row>
    <row r="167" spans="2:16" x14ac:dyDescent="0.2">
      <c r="B167" s="726" t="s">
        <v>309</v>
      </c>
      <c r="C167" s="300" t="s">
        <v>45</v>
      </c>
      <c r="D167" s="278">
        <f>Ingresos!C160*0.65</f>
        <v>2000.7</v>
      </c>
      <c r="E167" s="301">
        <f>+D167</f>
        <v>2000.7</v>
      </c>
      <c r="F167" s="301">
        <f t="shared" ref="F167:O167" si="110">+E167</f>
        <v>2000.7</v>
      </c>
      <c r="G167" s="301">
        <f t="shared" si="110"/>
        <v>2000.7</v>
      </c>
      <c r="H167" s="301">
        <f t="shared" si="110"/>
        <v>2000.7</v>
      </c>
      <c r="I167" s="301">
        <f t="shared" si="110"/>
        <v>2000.7</v>
      </c>
      <c r="J167" s="301">
        <f t="shared" si="110"/>
        <v>2000.7</v>
      </c>
      <c r="K167" s="301">
        <f t="shared" si="110"/>
        <v>2000.7</v>
      </c>
      <c r="L167" s="301">
        <f t="shared" si="110"/>
        <v>2000.7</v>
      </c>
      <c r="M167" s="301">
        <f t="shared" si="110"/>
        <v>2000.7</v>
      </c>
      <c r="N167" s="301">
        <f t="shared" si="110"/>
        <v>2000.7</v>
      </c>
      <c r="O167" s="301">
        <f t="shared" si="110"/>
        <v>2000.7</v>
      </c>
      <c r="P167" s="302">
        <f>+O167</f>
        <v>2000.7</v>
      </c>
    </row>
    <row r="168" spans="2:16" ht="15" x14ac:dyDescent="0.25">
      <c r="B168" s="727" t="s">
        <v>315</v>
      </c>
      <c r="C168" s="300" t="s">
        <v>45</v>
      </c>
      <c r="D168" s="304">
        <f>D166*D167</f>
        <v>503496.16200000001</v>
      </c>
      <c r="E168" s="304">
        <f t="shared" ref="E168:O168" si="111">E166*E167</f>
        <v>503496.16200000001</v>
      </c>
      <c r="F168" s="304">
        <f t="shared" si="111"/>
        <v>503496.16200000001</v>
      </c>
      <c r="G168" s="304">
        <f t="shared" si="111"/>
        <v>503496.16200000001</v>
      </c>
      <c r="H168" s="304">
        <f t="shared" si="111"/>
        <v>503496.16200000001</v>
      </c>
      <c r="I168" s="304">
        <f t="shared" si="111"/>
        <v>503496.16200000001</v>
      </c>
      <c r="J168" s="304">
        <f t="shared" si="111"/>
        <v>503496.16200000001</v>
      </c>
      <c r="K168" s="304">
        <f t="shared" si="111"/>
        <v>503496.16200000001</v>
      </c>
      <c r="L168" s="304">
        <f t="shared" si="111"/>
        <v>503496.16200000001</v>
      </c>
      <c r="M168" s="304">
        <f t="shared" si="111"/>
        <v>503496.16200000001</v>
      </c>
      <c r="N168" s="304">
        <f t="shared" si="111"/>
        <v>503496.16200000001</v>
      </c>
      <c r="O168" s="304">
        <f t="shared" si="111"/>
        <v>503496.16200000001</v>
      </c>
      <c r="P168" s="305">
        <f>SUM(D168:O168)</f>
        <v>6041953.944000002</v>
      </c>
    </row>
    <row r="169" spans="2:16" x14ac:dyDescent="0.2">
      <c r="B169" s="726" t="s">
        <v>310</v>
      </c>
      <c r="C169" s="300" t="s">
        <v>45</v>
      </c>
      <c r="D169" s="278">
        <v>261.16000000000003</v>
      </c>
      <c r="E169" s="301">
        <f>+D169</f>
        <v>261.16000000000003</v>
      </c>
      <c r="F169" s="301">
        <f t="shared" ref="F169:O169" si="112">+E169</f>
        <v>261.16000000000003</v>
      </c>
      <c r="G169" s="301">
        <f t="shared" si="112"/>
        <v>261.16000000000003</v>
      </c>
      <c r="H169" s="301">
        <f t="shared" si="112"/>
        <v>261.16000000000003</v>
      </c>
      <c r="I169" s="301">
        <f t="shared" si="112"/>
        <v>261.16000000000003</v>
      </c>
      <c r="J169" s="301">
        <f t="shared" si="112"/>
        <v>261.16000000000003</v>
      </c>
      <c r="K169" s="301">
        <f t="shared" si="112"/>
        <v>261.16000000000003</v>
      </c>
      <c r="L169" s="301">
        <f t="shared" si="112"/>
        <v>261.16000000000003</v>
      </c>
      <c r="M169" s="301">
        <f t="shared" si="112"/>
        <v>261.16000000000003</v>
      </c>
      <c r="N169" s="301">
        <f t="shared" si="112"/>
        <v>261.16000000000003</v>
      </c>
      <c r="O169" s="301">
        <f t="shared" si="112"/>
        <v>261.16000000000003</v>
      </c>
      <c r="P169" s="302">
        <f>+O169</f>
        <v>261.16000000000003</v>
      </c>
    </row>
    <row r="170" spans="2:16" ht="15" x14ac:dyDescent="0.25">
      <c r="B170" s="727" t="s">
        <v>315</v>
      </c>
      <c r="C170" s="300" t="s">
        <v>45</v>
      </c>
      <c r="D170" s="304">
        <f>D166*D169</f>
        <v>65723.525600000008</v>
      </c>
      <c r="E170" s="304">
        <f t="shared" ref="E170:O170" si="113">E166*E169</f>
        <v>65723.525600000008</v>
      </c>
      <c r="F170" s="304">
        <f t="shared" si="113"/>
        <v>65723.525600000008</v>
      </c>
      <c r="G170" s="304">
        <f t="shared" si="113"/>
        <v>65723.525600000008</v>
      </c>
      <c r="H170" s="304">
        <f t="shared" si="113"/>
        <v>65723.525600000008</v>
      </c>
      <c r="I170" s="304">
        <f t="shared" si="113"/>
        <v>65723.525600000008</v>
      </c>
      <c r="J170" s="304">
        <f t="shared" si="113"/>
        <v>65723.525600000008</v>
      </c>
      <c r="K170" s="304">
        <f t="shared" si="113"/>
        <v>65723.525600000008</v>
      </c>
      <c r="L170" s="304">
        <f t="shared" si="113"/>
        <v>65723.525600000008</v>
      </c>
      <c r="M170" s="304">
        <f t="shared" si="113"/>
        <v>65723.525600000008</v>
      </c>
      <c r="N170" s="304">
        <f t="shared" si="113"/>
        <v>65723.525600000008</v>
      </c>
      <c r="O170" s="304">
        <f t="shared" si="113"/>
        <v>65723.525600000008</v>
      </c>
      <c r="P170" s="305">
        <f>SUM(D170:O170)</f>
        <v>788682.30720000027</v>
      </c>
    </row>
    <row r="171" spans="2:16" x14ac:dyDescent="0.2">
      <c r="B171" s="726" t="s">
        <v>311</v>
      </c>
      <c r="C171" s="300" t="s">
        <v>45</v>
      </c>
      <c r="D171" s="278"/>
      <c r="E171" s="301">
        <f>+D171</f>
        <v>0</v>
      </c>
      <c r="F171" s="301">
        <f t="shared" ref="F171:O171" si="114">+E171</f>
        <v>0</v>
      </c>
      <c r="G171" s="301">
        <f t="shared" si="114"/>
        <v>0</v>
      </c>
      <c r="H171" s="301">
        <f t="shared" si="114"/>
        <v>0</v>
      </c>
      <c r="I171" s="301">
        <f t="shared" si="114"/>
        <v>0</v>
      </c>
      <c r="J171" s="301">
        <f t="shared" si="114"/>
        <v>0</v>
      </c>
      <c r="K171" s="301">
        <f t="shared" si="114"/>
        <v>0</v>
      </c>
      <c r="L171" s="301">
        <f t="shared" si="114"/>
        <v>0</v>
      </c>
      <c r="M171" s="301">
        <f t="shared" si="114"/>
        <v>0</v>
      </c>
      <c r="N171" s="301">
        <f t="shared" si="114"/>
        <v>0</v>
      </c>
      <c r="O171" s="301">
        <f t="shared" si="114"/>
        <v>0</v>
      </c>
      <c r="P171" s="302">
        <f>+O171</f>
        <v>0</v>
      </c>
    </row>
    <row r="172" spans="2:16" ht="15" x14ac:dyDescent="0.25">
      <c r="B172" s="727" t="s">
        <v>315</v>
      </c>
      <c r="C172" s="300" t="s">
        <v>45</v>
      </c>
      <c r="D172" s="304">
        <f>D166*(D171)</f>
        <v>0</v>
      </c>
      <c r="E172" s="304">
        <f t="shared" ref="E172:O172" si="115">E166*(E171)</f>
        <v>0</v>
      </c>
      <c r="F172" s="304">
        <f t="shared" si="115"/>
        <v>0</v>
      </c>
      <c r="G172" s="304">
        <f t="shared" si="115"/>
        <v>0</v>
      </c>
      <c r="H172" s="304">
        <f t="shared" si="115"/>
        <v>0</v>
      </c>
      <c r="I172" s="304">
        <f t="shared" si="115"/>
        <v>0</v>
      </c>
      <c r="J172" s="304">
        <f t="shared" si="115"/>
        <v>0</v>
      </c>
      <c r="K172" s="304">
        <f t="shared" si="115"/>
        <v>0</v>
      </c>
      <c r="L172" s="304">
        <f t="shared" si="115"/>
        <v>0</v>
      </c>
      <c r="M172" s="304">
        <f t="shared" si="115"/>
        <v>0</v>
      </c>
      <c r="N172" s="304">
        <f t="shared" si="115"/>
        <v>0</v>
      </c>
      <c r="O172" s="304">
        <f t="shared" si="115"/>
        <v>0</v>
      </c>
      <c r="P172" s="305">
        <f>SUM(D172:O172)</f>
        <v>0</v>
      </c>
    </row>
    <row r="173" spans="2:16" ht="15" x14ac:dyDescent="0.25">
      <c r="B173" s="293" t="str">
        <f>+Ingresos!B164</f>
        <v>Pimenton</v>
      </c>
      <c r="C173" s="294"/>
      <c r="D173" s="295"/>
      <c r="E173" s="295"/>
      <c r="F173" s="295"/>
      <c r="G173" s="295"/>
      <c r="H173" s="295"/>
      <c r="I173" s="295"/>
      <c r="J173" s="295"/>
      <c r="K173" s="295"/>
      <c r="L173" s="295"/>
      <c r="M173" s="295"/>
      <c r="N173" s="295"/>
      <c r="O173" s="295"/>
      <c r="P173" s="295"/>
    </row>
    <row r="174" spans="2:16" x14ac:dyDescent="0.2">
      <c r="B174" s="726" t="s">
        <v>159</v>
      </c>
      <c r="C174" s="296" t="s">
        <v>372</v>
      </c>
      <c r="D174" s="297">
        <f>+Ingresos!C165</f>
        <v>267.87</v>
      </c>
      <c r="E174" s="297">
        <f>+Ingresos!D165</f>
        <v>267.87</v>
      </c>
      <c r="F174" s="297">
        <f>+Ingresos!E165</f>
        <v>267.87</v>
      </c>
      <c r="G174" s="297">
        <f>+Ingresos!F165</f>
        <v>267.87</v>
      </c>
      <c r="H174" s="297">
        <f>+Ingresos!G165</f>
        <v>267.87</v>
      </c>
      <c r="I174" s="297">
        <f>+Ingresos!H165</f>
        <v>267.87</v>
      </c>
      <c r="J174" s="297">
        <f>+Ingresos!I165</f>
        <v>267.87</v>
      </c>
      <c r="K174" s="297">
        <f>+Ingresos!J165</f>
        <v>267.87</v>
      </c>
      <c r="L174" s="297">
        <f>+Ingresos!K165</f>
        <v>267.87</v>
      </c>
      <c r="M174" s="297">
        <f>+Ingresos!L165</f>
        <v>267.87</v>
      </c>
      <c r="N174" s="297">
        <f>+Ingresos!M165</f>
        <v>267.87</v>
      </c>
      <c r="O174" s="297">
        <f>+Ingresos!N165</f>
        <v>267.87</v>
      </c>
      <c r="P174" s="298">
        <f>SUM(D174:O174)</f>
        <v>3214.4399999999991</v>
      </c>
    </row>
    <row r="175" spans="2:16" x14ac:dyDescent="0.2">
      <c r="B175" s="726" t="s">
        <v>309</v>
      </c>
      <c r="C175" s="300" t="s">
        <v>45</v>
      </c>
      <c r="D175" s="278">
        <f>Ingresos!C168*0.65</f>
        <v>2089.3989999999999</v>
      </c>
      <c r="E175" s="301">
        <f>+D175</f>
        <v>2089.3989999999999</v>
      </c>
      <c r="F175" s="301">
        <f t="shared" ref="F175:O175" si="116">+E175</f>
        <v>2089.3989999999999</v>
      </c>
      <c r="G175" s="301">
        <f t="shared" si="116"/>
        <v>2089.3989999999999</v>
      </c>
      <c r="H175" s="301">
        <f t="shared" si="116"/>
        <v>2089.3989999999999</v>
      </c>
      <c r="I175" s="301">
        <f t="shared" si="116"/>
        <v>2089.3989999999999</v>
      </c>
      <c r="J175" s="301">
        <f t="shared" si="116"/>
        <v>2089.3989999999999</v>
      </c>
      <c r="K175" s="301">
        <f t="shared" si="116"/>
        <v>2089.3989999999999</v>
      </c>
      <c r="L175" s="301">
        <f t="shared" si="116"/>
        <v>2089.3989999999999</v>
      </c>
      <c r="M175" s="301">
        <f t="shared" si="116"/>
        <v>2089.3989999999999</v>
      </c>
      <c r="N175" s="301">
        <f t="shared" si="116"/>
        <v>2089.3989999999999</v>
      </c>
      <c r="O175" s="301">
        <f t="shared" si="116"/>
        <v>2089.3989999999999</v>
      </c>
      <c r="P175" s="302">
        <f>+O175</f>
        <v>2089.3989999999999</v>
      </c>
    </row>
    <row r="176" spans="2:16" ht="15" x14ac:dyDescent="0.25">
      <c r="B176" s="727" t="s">
        <v>315</v>
      </c>
      <c r="C176" s="300" t="s">
        <v>45</v>
      </c>
      <c r="D176" s="304">
        <f>D174*D175</f>
        <v>559687.31013</v>
      </c>
      <c r="E176" s="304">
        <f t="shared" ref="E176:O176" si="117">E174*E175</f>
        <v>559687.31013</v>
      </c>
      <c r="F176" s="304">
        <f t="shared" si="117"/>
        <v>559687.31013</v>
      </c>
      <c r="G176" s="304">
        <f t="shared" si="117"/>
        <v>559687.31013</v>
      </c>
      <c r="H176" s="304">
        <f t="shared" si="117"/>
        <v>559687.31013</v>
      </c>
      <c r="I176" s="304">
        <f t="shared" si="117"/>
        <v>559687.31013</v>
      </c>
      <c r="J176" s="304">
        <f t="shared" si="117"/>
        <v>559687.31013</v>
      </c>
      <c r="K176" s="304">
        <f t="shared" si="117"/>
        <v>559687.31013</v>
      </c>
      <c r="L176" s="304">
        <f t="shared" si="117"/>
        <v>559687.31013</v>
      </c>
      <c r="M176" s="304">
        <f t="shared" si="117"/>
        <v>559687.31013</v>
      </c>
      <c r="N176" s="304">
        <f t="shared" si="117"/>
        <v>559687.31013</v>
      </c>
      <c r="O176" s="304">
        <f t="shared" si="117"/>
        <v>559687.31013</v>
      </c>
      <c r="P176" s="305">
        <f>SUM(D176:O176)</f>
        <v>6716247.7215600004</v>
      </c>
    </row>
    <row r="177" spans="2:16" x14ac:dyDescent="0.2">
      <c r="B177" s="726" t="s">
        <v>310</v>
      </c>
      <c r="C177" s="300" t="s">
        <v>45</v>
      </c>
      <c r="D177" s="278">
        <v>276.33</v>
      </c>
      <c r="E177" s="301">
        <f>+D177</f>
        <v>276.33</v>
      </c>
      <c r="F177" s="301">
        <f t="shared" ref="F177:O177" si="118">+E177</f>
        <v>276.33</v>
      </c>
      <c r="G177" s="301">
        <f t="shared" si="118"/>
        <v>276.33</v>
      </c>
      <c r="H177" s="301">
        <f t="shared" si="118"/>
        <v>276.33</v>
      </c>
      <c r="I177" s="301">
        <f t="shared" si="118"/>
        <v>276.33</v>
      </c>
      <c r="J177" s="301">
        <f t="shared" si="118"/>
        <v>276.33</v>
      </c>
      <c r="K177" s="301">
        <f t="shared" si="118"/>
        <v>276.33</v>
      </c>
      <c r="L177" s="301">
        <f t="shared" si="118"/>
        <v>276.33</v>
      </c>
      <c r="M177" s="301">
        <f t="shared" si="118"/>
        <v>276.33</v>
      </c>
      <c r="N177" s="301">
        <f t="shared" si="118"/>
        <v>276.33</v>
      </c>
      <c r="O177" s="301">
        <f t="shared" si="118"/>
        <v>276.33</v>
      </c>
      <c r="P177" s="302">
        <f>+O177</f>
        <v>276.33</v>
      </c>
    </row>
    <row r="178" spans="2:16" ht="15" x14ac:dyDescent="0.25">
      <c r="B178" s="727" t="s">
        <v>315</v>
      </c>
      <c r="C178" s="300" t="s">
        <v>45</v>
      </c>
      <c r="D178" s="304">
        <f>D174*D177</f>
        <v>74020.517099999997</v>
      </c>
      <c r="E178" s="304">
        <f t="shared" ref="E178:O178" si="119">E174*E177</f>
        <v>74020.517099999997</v>
      </c>
      <c r="F178" s="304">
        <f t="shared" si="119"/>
        <v>74020.517099999997</v>
      </c>
      <c r="G178" s="304">
        <f t="shared" si="119"/>
        <v>74020.517099999997</v>
      </c>
      <c r="H178" s="304">
        <f t="shared" si="119"/>
        <v>74020.517099999997</v>
      </c>
      <c r="I178" s="304">
        <f t="shared" si="119"/>
        <v>74020.517099999997</v>
      </c>
      <c r="J178" s="304">
        <f t="shared" si="119"/>
        <v>74020.517099999997</v>
      </c>
      <c r="K178" s="304">
        <f t="shared" si="119"/>
        <v>74020.517099999997</v>
      </c>
      <c r="L178" s="304">
        <f t="shared" si="119"/>
        <v>74020.517099999997</v>
      </c>
      <c r="M178" s="304">
        <f t="shared" si="119"/>
        <v>74020.517099999997</v>
      </c>
      <c r="N178" s="304">
        <f t="shared" si="119"/>
        <v>74020.517099999997</v>
      </c>
      <c r="O178" s="304">
        <f t="shared" si="119"/>
        <v>74020.517099999997</v>
      </c>
      <c r="P178" s="305">
        <f>SUM(D178:O178)</f>
        <v>888246.2052000002</v>
      </c>
    </row>
    <row r="179" spans="2:16" x14ac:dyDescent="0.2">
      <c r="B179" s="726" t="s">
        <v>311</v>
      </c>
      <c r="C179" s="300" t="s">
        <v>45</v>
      </c>
      <c r="D179" s="278"/>
      <c r="E179" s="301">
        <f>+D179</f>
        <v>0</v>
      </c>
      <c r="F179" s="301">
        <f t="shared" ref="F179:O179" si="120">+E179</f>
        <v>0</v>
      </c>
      <c r="G179" s="301">
        <f t="shared" si="120"/>
        <v>0</v>
      </c>
      <c r="H179" s="301">
        <f t="shared" si="120"/>
        <v>0</v>
      </c>
      <c r="I179" s="301">
        <f t="shared" si="120"/>
        <v>0</v>
      </c>
      <c r="J179" s="301">
        <f t="shared" si="120"/>
        <v>0</v>
      </c>
      <c r="K179" s="301">
        <f t="shared" si="120"/>
        <v>0</v>
      </c>
      <c r="L179" s="301">
        <f t="shared" si="120"/>
        <v>0</v>
      </c>
      <c r="M179" s="301">
        <f t="shared" si="120"/>
        <v>0</v>
      </c>
      <c r="N179" s="301">
        <f t="shared" si="120"/>
        <v>0</v>
      </c>
      <c r="O179" s="301">
        <f t="shared" si="120"/>
        <v>0</v>
      </c>
      <c r="P179" s="302">
        <f>+O179</f>
        <v>0</v>
      </c>
    </row>
    <row r="180" spans="2:16" ht="15" x14ac:dyDescent="0.25">
      <c r="B180" s="727" t="s">
        <v>315</v>
      </c>
      <c r="C180" s="300" t="s">
        <v>45</v>
      </c>
      <c r="D180" s="304">
        <f>D174*(D179)</f>
        <v>0</v>
      </c>
      <c r="E180" s="304">
        <f t="shared" ref="E180:O180" si="121">E174*(E179)</f>
        <v>0</v>
      </c>
      <c r="F180" s="304">
        <f t="shared" si="121"/>
        <v>0</v>
      </c>
      <c r="G180" s="304">
        <f t="shared" si="121"/>
        <v>0</v>
      </c>
      <c r="H180" s="304">
        <f t="shared" si="121"/>
        <v>0</v>
      </c>
      <c r="I180" s="304">
        <f t="shared" si="121"/>
        <v>0</v>
      </c>
      <c r="J180" s="304">
        <f t="shared" si="121"/>
        <v>0</v>
      </c>
      <c r="K180" s="304">
        <f t="shared" si="121"/>
        <v>0</v>
      </c>
      <c r="L180" s="304">
        <f t="shared" si="121"/>
        <v>0</v>
      </c>
      <c r="M180" s="304">
        <f t="shared" si="121"/>
        <v>0</v>
      </c>
      <c r="N180" s="304">
        <f t="shared" si="121"/>
        <v>0</v>
      </c>
      <c r="O180" s="304">
        <f t="shared" si="121"/>
        <v>0</v>
      </c>
      <c r="P180" s="305">
        <f>SUM(D180:O180)</f>
        <v>0</v>
      </c>
    </row>
    <row r="181" spans="2:16" ht="15" x14ac:dyDescent="0.25">
      <c r="B181" s="293" t="str">
        <f>+Ingresos!B172</f>
        <v>Plátano Hartón</v>
      </c>
      <c r="C181" s="294"/>
      <c r="D181" s="295"/>
      <c r="E181" s="295"/>
      <c r="F181" s="295"/>
      <c r="G181" s="295"/>
      <c r="H181" s="295"/>
      <c r="I181" s="295"/>
      <c r="J181" s="295"/>
      <c r="K181" s="295"/>
      <c r="L181" s="295"/>
      <c r="M181" s="295"/>
      <c r="N181" s="295"/>
      <c r="O181" s="295"/>
      <c r="P181" s="295"/>
    </row>
    <row r="182" spans="2:16" x14ac:dyDescent="0.2">
      <c r="B182" s="726" t="s">
        <v>159</v>
      </c>
      <c r="C182" s="296" t="s">
        <v>372</v>
      </c>
      <c r="D182" s="297">
        <f>+Ingresos!C173</f>
        <v>12043.5</v>
      </c>
      <c r="E182" s="297">
        <f>+Ingresos!D173</f>
        <v>12043.5</v>
      </c>
      <c r="F182" s="297">
        <f>+Ingresos!E173</f>
        <v>12043.5</v>
      </c>
      <c r="G182" s="297">
        <f>+Ingresos!F173</f>
        <v>12043.5</v>
      </c>
      <c r="H182" s="297">
        <f>+Ingresos!G173</f>
        <v>12043.5</v>
      </c>
      <c r="I182" s="297">
        <f>+Ingresos!H173</f>
        <v>12043.5</v>
      </c>
      <c r="J182" s="297">
        <f>+Ingresos!I173</f>
        <v>12043.5</v>
      </c>
      <c r="K182" s="297">
        <f>+Ingresos!J173</f>
        <v>12043.5</v>
      </c>
      <c r="L182" s="297">
        <f>+Ingresos!K173</f>
        <v>12043.5</v>
      </c>
      <c r="M182" s="297">
        <f>+Ingresos!L173</f>
        <v>12043.5</v>
      </c>
      <c r="N182" s="297">
        <f>+Ingresos!M173</f>
        <v>12043.5</v>
      </c>
      <c r="O182" s="297">
        <f>+Ingresos!N173</f>
        <v>12043.5</v>
      </c>
      <c r="P182" s="298">
        <f>SUM(D182:O182)</f>
        <v>144522</v>
      </c>
    </row>
    <row r="183" spans="2:16" x14ac:dyDescent="0.2">
      <c r="B183" s="726" t="s">
        <v>309</v>
      </c>
      <c r="C183" s="300" t="s">
        <v>45</v>
      </c>
      <c r="D183" s="278">
        <f>Ingresos!C176*0.65</f>
        <v>978.34100000000012</v>
      </c>
      <c r="E183" s="301">
        <f>+D183</f>
        <v>978.34100000000012</v>
      </c>
      <c r="F183" s="301">
        <f t="shared" ref="F183:O183" si="122">+E183</f>
        <v>978.34100000000012</v>
      </c>
      <c r="G183" s="301">
        <f t="shared" si="122"/>
        <v>978.34100000000012</v>
      </c>
      <c r="H183" s="301">
        <f t="shared" si="122"/>
        <v>978.34100000000012</v>
      </c>
      <c r="I183" s="301">
        <f t="shared" si="122"/>
        <v>978.34100000000012</v>
      </c>
      <c r="J183" s="301">
        <f t="shared" si="122"/>
        <v>978.34100000000012</v>
      </c>
      <c r="K183" s="301">
        <f t="shared" si="122"/>
        <v>978.34100000000012</v>
      </c>
      <c r="L183" s="301">
        <f t="shared" si="122"/>
        <v>978.34100000000012</v>
      </c>
      <c r="M183" s="301">
        <f t="shared" si="122"/>
        <v>978.34100000000012</v>
      </c>
      <c r="N183" s="301">
        <f t="shared" si="122"/>
        <v>978.34100000000012</v>
      </c>
      <c r="O183" s="301">
        <f t="shared" si="122"/>
        <v>978.34100000000012</v>
      </c>
      <c r="P183" s="302">
        <f>+O183</f>
        <v>978.34100000000012</v>
      </c>
    </row>
    <row r="184" spans="2:16" ht="15" x14ac:dyDescent="0.25">
      <c r="B184" s="727" t="s">
        <v>315</v>
      </c>
      <c r="C184" s="300" t="s">
        <v>45</v>
      </c>
      <c r="D184" s="304">
        <f>D182*D183</f>
        <v>11782649.833500002</v>
      </c>
      <c r="E184" s="304">
        <f t="shared" ref="E184:O184" si="123">E182*E183</f>
        <v>11782649.833500002</v>
      </c>
      <c r="F184" s="304">
        <f t="shared" si="123"/>
        <v>11782649.833500002</v>
      </c>
      <c r="G184" s="304">
        <f t="shared" si="123"/>
        <v>11782649.833500002</v>
      </c>
      <c r="H184" s="304">
        <f t="shared" si="123"/>
        <v>11782649.833500002</v>
      </c>
      <c r="I184" s="304">
        <f t="shared" si="123"/>
        <v>11782649.833500002</v>
      </c>
      <c r="J184" s="304">
        <f t="shared" si="123"/>
        <v>11782649.833500002</v>
      </c>
      <c r="K184" s="304">
        <f t="shared" si="123"/>
        <v>11782649.833500002</v>
      </c>
      <c r="L184" s="304">
        <f t="shared" si="123"/>
        <v>11782649.833500002</v>
      </c>
      <c r="M184" s="304">
        <f t="shared" si="123"/>
        <v>11782649.833500002</v>
      </c>
      <c r="N184" s="304">
        <f t="shared" si="123"/>
        <v>11782649.833500002</v>
      </c>
      <c r="O184" s="304">
        <f t="shared" si="123"/>
        <v>11782649.833500002</v>
      </c>
      <c r="P184" s="305">
        <f>SUM(D184:O184)</f>
        <v>141391798.002</v>
      </c>
    </row>
    <row r="185" spans="2:16" x14ac:dyDescent="0.2">
      <c r="B185" s="726" t="s">
        <v>310</v>
      </c>
      <c r="C185" s="300" t="s">
        <v>45</v>
      </c>
      <c r="D185" s="278">
        <v>28.66</v>
      </c>
      <c r="E185" s="301">
        <f>+D185</f>
        <v>28.66</v>
      </c>
      <c r="F185" s="301">
        <f t="shared" ref="F185:O185" si="124">+E185</f>
        <v>28.66</v>
      </c>
      <c r="G185" s="301">
        <f t="shared" si="124"/>
        <v>28.66</v>
      </c>
      <c r="H185" s="301">
        <f t="shared" si="124"/>
        <v>28.66</v>
      </c>
      <c r="I185" s="301">
        <f t="shared" si="124"/>
        <v>28.66</v>
      </c>
      <c r="J185" s="301">
        <f t="shared" si="124"/>
        <v>28.66</v>
      </c>
      <c r="K185" s="301">
        <f t="shared" si="124"/>
        <v>28.66</v>
      </c>
      <c r="L185" s="301">
        <f t="shared" si="124"/>
        <v>28.66</v>
      </c>
      <c r="M185" s="301">
        <f t="shared" si="124"/>
        <v>28.66</v>
      </c>
      <c r="N185" s="301">
        <f t="shared" si="124"/>
        <v>28.66</v>
      </c>
      <c r="O185" s="301">
        <f t="shared" si="124"/>
        <v>28.66</v>
      </c>
      <c r="P185" s="302">
        <f>+O185</f>
        <v>28.66</v>
      </c>
    </row>
    <row r="186" spans="2:16" ht="15" x14ac:dyDescent="0.25">
      <c r="B186" s="727" t="s">
        <v>315</v>
      </c>
      <c r="C186" s="300" t="s">
        <v>45</v>
      </c>
      <c r="D186" s="304">
        <f>D182*D185</f>
        <v>345166.71</v>
      </c>
      <c r="E186" s="304">
        <f t="shared" ref="E186:O186" si="125">E182*E185</f>
        <v>345166.71</v>
      </c>
      <c r="F186" s="304">
        <f t="shared" si="125"/>
        <v>345166.71</v>
      </c>
      <c r="G186" s="304">
        <f t="shared" si="125"/>
        <v>345166.71</v>
      </c>
      <c r="H186" s="304">
        <f t="shared" si="125"/>
        <v>345166.71</v>
      </c>
      <c r="I186" s="304">
        <f t="shared" si="125"/>
        <v>345166.71</v>
      </c>
      <c r="J186" s="304">
        <f t="shared" si="125"/>
        <v>345166.71</v>
      </c>
      <c r="K186" s="304">
        <f t="shared" si="125"/>
        <v>345166.71</v>
      </c>
      <c r="L186" s="304">
        <f t="shared" si="125"/>
        <v>345166.71</v>
      </c>
      <c r="M186" s="304">
        <f t="shared" si="125"/>
        <v>345166.71</v>
      </c>
      <c r="N186" s="304">
        <f t="shared" si="125"/>
        <v>345166.71</v>
      </c>
      <c r="O186" s="304">
        <f t="shared" si="125"/>
        <v>345166.71</v>
      </c>
      <c r="P186" s="305">
        <f>SUM(D186:O186)</f>
        <v>4142000.52</v>
      </c>
    </row>
    <row r="187" spans="2:16" x14ac:dyDescent="0.2">
      <c r="B187" s="726" t="s">
        <v>311</v>
      </c>
      <c r="C187" s="300" t="s">
        <v>45</v>
      </c>
      <c r="D187" s="278"/>
      <c r="E187" s="301">
        <f>+D187</f>
        <v>0</v>
      </c>
      <c r="F187" s="301">
        <f t="shared" ref="F187:O187" si="126">+E187</f>
        <v>0</v>
      </c>
      <c r="G187" s="301">
        <f t="shared" si="126"/>
        <v>0</v>
      </c>
      <c r="H187" s="301">
        <f t="shared" si="126"/>
        <v>0</v>
      </c>
      <c r="I187" s="301">
        <f t="shared" si="126"/>
        <v>0</v>
      </c>
      <c r="J187" s="301">
        <f t="shared" si="126"/>
        <v>0</v>
      </c>
      <c r="K187" s="301">
        <f t="shared" si="126"/>
        <v>0</v>
      </c>
      <c r="L187" s="301">
        <f t="shared" si="126"/>
        <v>0</v>
      </c>
      <c r="M187" s="301">
        <f t="shared" si="126"/>
        <v>0</v>
      </c>
      <c r="N187" s="301">
        <f t="shared" si="126"/>
        <v>0</v>
      </c>
      <c r="O187" s="301">
        <f t="shared" si="126"/>
        <v>0</v>
      </c>
      <c r="P187" s="302">
        <f>+O187</f>
        <v>0</v>
      </c>
    </row>
    <row r="188" spans="2:16" ht="15" x14ac:dyDescent="0.25">
      <c r="B188" s="727" t="s">
        <v>315</v>
      </c>
      <c r="C188" s="300" t="s">
        <v>45</v>
      </c>
      <c r="D188" s="304">
        <f>D182*(D187)</f>
        <v>0</v>
      </c>
      <c r="E188" s="304">
        <f t="shared" ref="E188:O188" si="127">E182*(E187)</f>
        <v>0</v>
      </c>
      <c r="F188" s="304">
        <f t="shared" si="127"/>
        <v>0</v>
      </c>
      <c r="G188" s="304">
        <f t="shared" si="127"/>
        <v>0</v>
      </c>
      <c r="H188" s="304">
        <f t="shared" si="127"/>
        <v>0</v>
      </c>
      <c r="I188" s="304">
        <f t="shared" si="127"/>
        <v>0</v>
      </c>
      <c r="J188" s="304">
        <f t="shared" si="127"/>
        <v>0</v>
      </c>
      <c r="K188" s="304">
        <f t="shared" si="127"/>
        <v>0</v>
      </c>
      <c r="L188" s="304">
        <f t="shared" si="127"/>
        <v>0</v>
      </c>
      <c r="M188" s="304">
        <f t="shared" si="127"/>
        <v>0</v>
      </c>
      <c r="N188" s="304">
        <f t="shared" si="127"/>
        <v>0</v>
      </c>
      <c r="O188" s="304">
        <f t="shared" si="127"/>
        <v>0</v>
      </c>
      <c r="P188" s="305">
        <f>SUM(D188:O188)</f>
        <v>0</v>
      </c>
    </row>
    <row r="189" spans="2:16" ht="15" x14ac:dyDescent="0.25">
      <c r="B189" s="293" t="str">
        <f>+Ingresos!B180</f>
        <v>Remolacha</v>
      </c>
      <c r="C189" s="294"/>
      <c r="D189" s="295"/>
      <c r="E189" s="295"/>
      <c r="F189" s="295"/>
      <c r="G189" s="295"/>
      <c r="H189" s="295"/>
      <c r="I189" s="295"/>
      <c r="J189" s="295"/>
      <c r="K189" s="295"/>
      <c r="L189" s="295"/>
      <c r="M189" s="295"/>
      <c r="N189" s="295"/>
      <c r="O189" s="295"/>
      <c r="P189" s="295"/>
    </row>
    <row r="190" spans="2:16" x14ac:dyDescent="0.2">
      <c r="B190" s="726" t="s">
        <v>159</v>
      </c>
      <c r="C190" s="296" t="s">
        <v>372</v>
      </c>
      <c r="D190" s="297">
        <f>+Ingresos!C181</f>
        <v>155.84</v>
      </c>
      <c r="E190" s="297">
        <f>+Ingresos!D181</f>
        <v>155.84</v>
      </c>
      <c r="F190" s="297">
        <f>+Ingresos!E181</f>
        <v>155.84</v>
      </c>
      <c r="G190" s="297">
        <f>+Ingresos!F181</f>
        <v>155.84</v>
      </c>
      <c r="H190" s="297">
        <f>+Ingresos!G181</f>
        <v>155.84</v>
      </c>
      <c r="I190" s="297">
        <f>+Ingresos!H181</f>
        <v>155.84</v>
      </c>
      <c r="J190" s="297">
        <f>+Ingresos!I181</f>
        <v>155.84</v>
      </c>
      <c r="K190" s="297">
        <f>+Ingresos!J181</f>
        <v>155.84</v>
      </c>
      <c r="L190" s="297">
        <f>+Ingresos!K181</f>
        <v>155.84</v>
      </c>
      <c r="M190" s="297">
        <f>+Ingresos!L181</f>
        <v>155.84</v>
      </c>
      <c r="N190" s="297">
        <f>+Ingresos!M181</f>
        <v>155.84</v>
      </c>
      <c r="O190" s="297">
        <f>+Ingresos!N181</f>
        <v>155.84</v>
      </c>
      <c r="P190" s="298">
        <f>SUM(D190:O190)</f>
        <v>1870.0799999999997</v>
      </c>
    </row>
    <row r="191" spans="2:16" x14ac:dyDescent="0.2">
      <c r="B191" s="726" t="s">
        <v>309</v>
      </c>
      <c r="C191" s="300" t="s">
        <v>45</v>
      </c>
      <c r="D191" s="278">
        <f>Ingresos!C184*0.65</f>
        <v>933.66000000000008</v>
      </c>
      <c r="E191" s="301">
        <f>+D191</f>
        <v>933.66000000000008</v>
      </c>
      <c r="F191" s="301">
        <f t="shared" ref="F191:O191" si="128">+E191</f>
        <v>933.66000000000008</v>
      </c>
      <c r="G191" s="301">
        <f t="shared" si="128"/>
        <v>933.66000000000008</v>
      </c>
      <c r="H191" s="301">
        <f t="shared" si="128"/>
        <v>933.66000000000008</v>
      </c>
      <c r="I191" s="301">
        <f t="shared" si="128"/>
        <v>933.66000000000008</v>
      </c>
      <c r="J191" s="301">
        <f t="shared" si="128"/>
        <v>933.66000000000008</v>
      </c>
      <c r="K191" s="301">
        <f t="shared" si="128"/>
        <v>933.66000000000008</v>
      </c>
      <c r="L191" s="301">
        <f t="shared" si="128"/>
        <v>933.66000000000008</v>
      </c>
      <c r="M191" s="301">
        <f t="shared" si="128"/>
        <v>933.66000000000008</v>
      </c>
      <c r="N191" s="301">
        <f t="shared" si="128"/>
        <v>933.66000000000008</v>
      </c>
      <c r="O191" s="301">
        <f t="shared" si="128"/>
        <v>933.66000000000008</v>
      </c>
      <c r="P191" s="302">
        <f>+O191</f>
        <v>933.66000000000008</v>
      </c>
    </row>
    <row r="192" spans="2:16" ht="15" x14ac:dyDescent="0.25">
      <c r="B192" s="727" t="s">
        <v>315</v>
      </c>
      <c r="C192" s="300" t="s">
        <v>45</v>
      </c>
      <c r="D192" s="304">
        <f>D190*D191</f>
        <v>145501.57440000001</v>
      </c>
      <c r="E192" s="304">
        <f t="shared" ref="E192:O192" si="129">E190*E191</f>
        <v>145501.57440000001</v>
      </c>
      <c r="F192" s="304">
        <f t="shared" si="129"/>
        <v>145501.57440000001</v>
      </c>
      <c r="G192" s="304">
        <f t="shared" si="129"/>
        <v>145501.57440000001</v>
      </c>
      <c r="H192" s="304">
        <f t="shared" si="129"/>
        <v>145501.57440000001</v>
      </c>
      <c r="I192" s="304">
        <f t="shared" si="129"/>
        <v>145501.57440000001</v>
      </c>
      <c r="J192" s="304">
        <f t="shared" si="129"/>
        <v>145501.57440000001</v>
      </c>
      <c r="K192" s="304">
        <f t="shared" si="129"/>
        <v>145501.57440000001</v>
      </c>
      <c r="L192" s="304">
        <f t="shared" si="129"/>
        <v>145501.57440000001</v>
      </c>
      <c r="M192" s="304">
        <f t="shared" si="129"/>
        <v>145501.57440000001</v>
      </c>
      <c r="N192" s="304">
        <f t="shared" si="129"/>
        <v>145501.57440000001</v>
      </c>
      <c r="O192" s="304">
        <f t="shared" si="129"/>
        <v>145501.57440000001</v>
      </c>
      <c r="P192" s="305">
        <f>SUM(D192:O192)</f>
        <v>1746018.8928000003</v>
      </c>
    </row>
    <row r="193" spans="2:16" x14ac:dyDescent="0.2">
      <c r="B193" s="726" t="s">
        <v>310</v>
      </c>
      <c r="C193" s="300" t="s">
        <v>45</v>
      </c>
      <c r="D193" s="278">
        <v>78.66</v>
      </c>
      <c r="E193" s="301">
        <f>+D193</f>
        <v>78.66</v>
      </c>
      <c r="F193" s="301">
        <f t="shared" ref="F193:O193" si="130">+E193</f>
        <v>78.66</v>
      </c>
      <c r="G193" s="301">
        <f t="shared" si="130"/>
        <v>78.66</v>
      </c>
      <c r="H193" s="301">
        <f t="shared" si="130"/>
        <v>78.66</v>
      </c>
      <c r="I193" s="301">
        <f t="shared" si="130"/>
        <v>78.66</v>
      </c>
      <c r="J193" s="301">
        <f t="shared" si="130"/>
        <v>78.66</v>
      </c>
      <c r="K193" s="301">
        <f t="shared" si="130"/>
        <v>78.66</v>
      </c>
      <c r="L193" s="301">
        <f t="shared" si="130"/>
        <v>78.66</v>
      </c>
      <c r="M193" s="301">
        <f t="shared" si="130"/>
        <v>78.66</v>
      </c>
      <c r="N193" s="301">
        <f t="shared" si="130"/>
        <v>78.66</v>
      </c>
      <c r="O193" s="301">
        <f t="shared" si="130"/>
        <v>78.66</v>
      </c>
      <c r="P193" s="302">
        <f>+O193</f>
        <v>78.66</v>
      </c>
    </row>
    <row r="194" spans="2:16" ht="15" x14ac:dyDescent="0.25">
      <c r="B194" s="727" t="s">
        <v>315</v>
      </c>
      <c r="C194" s="300" t="s">
        <v>45</v>
      </c>
      <c r="D194" s="304">
        <f>D190*D193</f>
        <v>12258.374400000001</v>
      </c>
      <c r="E194" s="304">
        <f t="shared" ref="E194:O194" si="131">E190*E193</f>
        <v>12258.374400000001</v>
      </c>
      <c r="F194" s="304">
        <f t="shared" si="131"/>
        <v>12258.374400000001</v>
      </c>
      <c r="G194" s="304">
        <f t="shared" si="131"/>
        <v>12258.374400000001</v>
      </c>
      <c r="H194" s="304">
        <f t="shared" si="131"/>
        <v>12258.374400000001</v>
      </c>
      <c r="I194" s="304">
        <f t="shared" si="131"/>
        <v>12258.374400000001</v>
      </c>
      <c r="J194" s="304">
        <f t="shared" si="131"/>
        <v>12258.374400000001</v>
      </c>
      <c r="K194" s="304">
        <f t="shared" si="131"/>
        <v>12258.374400000001</v>
      </c>
      <c r="L194" s="304">
        <f t="shared" si="131"/>
        <v>12258.374400000001</v>
      </c>
      <c r="M194" s="304">
        <f t="shared" si="131"/>
        <v>12258.374400000001</v>
      </c>
      <c r="N194" s="304">
        <f t="shared" si="131"/>
        <v>12258.374400000001</v>
      </c>
      <c r="O194" s="304">
        <f t="shared" si="131"/>
        <v>12258.374400000001</v>
      </c>
      <c r="P194" s="305">
        <f>SUM(D194:O194)</f>
        <v>147100.49280000001</v>
      </c>
    </row>
    <row r="195" spans="2:16" x14ac:dyDescent="0.2">
      <c r="B195" s="726" t="s">
        <v>311</v>
      </c>
      <c r="C195" s="300" t="s">
        <v>45</v>
      </c>
      <c r="D195" s="278"/>
      <c r="E195" s="301">
        <f>+D195</f>
        <v>0</v>
      </c>
      <c r="F195" s="301">
        <f t="shared" ref="F195:O195" si="132">+E195</f>
        <v>0</v>
      </c>
      <c r="G195" s="301">
        <f t="shared" si="132"/>
        <v>0</v>
      </c>
      <c r="H195" s="301">
        <f t="shared" si="132"/>
        <v>0</v>
      </c>
      <c r="I195" s="301">
        <f t="shared" si="132"/>
        <v>0</v>
      </c>
      <c r="J195" s="301">
        <f t="shared" si="132"/>
        <v>0</v>
      </c>
      <c r="K195" s="301">
        <f t="shared" si="132"/>
        <v>0</v>
      </c>
      <c r="L195" s="301">
        <f t="shared" si="132"/>
        <v>0</v>
      </c>
      <c r="M195" s="301">
        <f t="shared" si="132"/>
        <v>0</v>
      </c>
      <c r="N195" s="301">
        <f t="shared" si="132"/>
        <v>0</v>
      </c>
      <c r="O195" s="301">
        <f t="shared" si="132"/>
        <v>0</v>
      </c>
      <c r="P195" s="302">
        <f>+O195</f>
        <v>0</v>
      </c>
    </row>
    <row r="196" spans="2:16" ht="15" x14ac:dyDescent="0.25">
      <c r="B196" s="727" t="s">
        <v>315</v>
      </c>
      <c r="C196" s="300" t="s">
        <v>45</v>
      </c>
      <c r="D196" s="304">
        <f>D190*(D195)</f>
        <v>0</v>
      </c>
      <c r="E196" s="304">
        <f t="shared" ref="E196:O196" si="133">E190*(E195)</f>
        <v>0</v>
      </c>
      <c r="F196" s="304">
        <f t="shared" si="133"/>
        <v>0</v>
      </c>
      <c r="G196" s="304">
        <f t="shared" si="133"/>
        <v>0</v>
      </c>
      <c r="H196" s="304">
        <f t="shared" si="133"/>
        <v>0</v>
      </c>
      <c r="I196" s="304">
        <f t="shared" si="133"/>
        <v>0</v>
      </c>
      <c r="J196" s="304">
        <f t="shared" si="133"/>
        <v>0</v>
      </c>
      <c r="K196" s="304">
        <f t="shared" si="133"/>
        <v>0</v>
      </c>
      <c r="L196" s="304">
        <f t="shared" si="133"/>
        <v>0</v>
      </c>
      <c r="M196" s="304">
        <f t="shared" si="133"/>
        <v>0</v>
      </c>
      <c r="N196" s="304">
        <f t="shared" si="133"/>
        <v>0</v>
      </c>
      <c r="O196" s="304">
        <f t="shared" si="133"/>
        <v>0</v>
      </c>
      <c r="P196" s="305">
        <f>SUM(D196:O196)</f>
        <v>0</v>
      </c>
    </row>
    <row r="197" spans="2:16" ht="15" x14ac:dyDescent="0.25">
      <c r="B197" s="293" t="str">
        <f>+Ingresos!B188</f>
        <v>Tomate chonto regional</v>
      </c>
      <c r="C197" s="294"/>
      <c r="D197" s="295"/>
      <c r="E197" s="295"/>
      <c r="F197" s="295"/>
      <c r="G197" s="295"/>
      <c r="H197" s="295"/>
      <c r="I197" s="295"/>
      <c r="J197" s="295"/>
      <c r="K197" s="295"/>
      <c r="L197" s="295"/>
      <c r="M197" s="295"/>
      <c r="N197" s="295"/>
      <c r="O197" s="295"/>
      <c r="P197" s="295"/>
    </row>
    <row r="198" spans="2:16" x14ac:dyDescent="0.2">
      <c r="B198" s="726" t="s">
        <v>159</v>
      </c>
      <c r="C198" s="296" t="s">
        <v>372</v>
      </c>
      <c r="D198" s="297">
        <f>+Ingresos!C189</f>
        <v>3051.41</v>
      </c>
      <c r="E198" s="297">
        <f>+Ingresos!D189</f>
        <v>3051.41</v>
      </c>
      <c r="F198" s="297">
        <f>+Ingresos!E189</f>
        <v>3051.41</v>
      </c>
      <c r="G198" s="297">
        <f>+Ingresos!F189</f>
        <v>3051.41</v>
      </c>
      <c r="H198" s="297">
        <f>+Ingresos!G189</f>
        <v>3051.41</v>
      </c>
      <c r="I198" s="297">
        <f>+Ingresos!H189</f>
        <v>3051.41</v>
      </c>
      <c r="J198" s="297">
        <f>+Ingresos!I189</f>
        <v>3051.41</v>
      </c>
      <c r="K198" s="297">
        <f>+Ingresos!J189</f>
        <v>3051.41</v>
      </c>
      <c r="L198" s="297">
        <f>+Ingresos!K189</f>
        <v>3051.41</v>
      </c>
      <c r="M198" s="297">
        <f>+Ingresos!L189</f>
        <v>3051.41</v>
      </c>
      <c r="N198" s="297">
        <f>+Ingresos!M189</f>
        <v>3051.41</v>
      </c>
      <c r="O198" s="297">
        <f>+Ingresos!N189</f>
        <v>3051.41</v>
      </c>
      <c r="P198" s="298">
        <f>SUM(D198:O198)</f>
        <v>36616.92</v>
      </c>
    </row>
    <row r="199" spans="2:16" x14ac:dyDescent="0.2">
      <c r="B199" s="726" t="s">
        <v>309</v>
      </c>
      <c r="C199" s="300" t="s">
        <v>45</v>
      </c>
      <c r="D199" s="278">
        <f>Ingresos!C192*0.65</f>
        <v>1667.25</v>
      </c>
      <c r="E199" s="301">
        <f>+D199</f>
        <v>1667.25</v>
      </c>
      <c r="F199" s="301">
        <f t="shared" ref="F199" si="134">+E199</f>
        <v>1667.25</v>
      </c>
      <c r="G199" s="301">
        <f t="shared" ref="G199" si="135">+F199</f>
        <v>1667.25</v>
      </c>
      <c r="H199" s="301">
        <f t="shared" ref="H199" si="136">+G199</f>
        <v>1667.25</v>
      </c>
      <c r="I199" s="301">
        <f t="shared" ref="I199" si="137">+H199</f>
        <v>1667.25</v>
      </c>
      <c r="J199" s="301">
        <f t="shared" ref="J199" si="138">+I199</f>
        <v>1667.25</v>
      </c>
      <c r="K199" s="301">
        <f t="shared" ref="K199" si="139">+J199</f>
        <v>1667.25</v>
      </c>
      <c r="L199" s="301">
        <f t="shared" ref="L199" si="140">+K199</f>
        <v>1667.25</v>
      </c>
      <c r="M199" s="301">
        <f t="shared" ref="M199" si="141">+L199</f>
        <v>1667.25</v>
      </c>
      <c r="N199" s="301">
        <f t="shared" ref="N199" si="142">+M199</f>
        <v>1667.25</v>
      </c>
      <c r="O199" s="301">
        <f t="shared" ref="O199" si="143">+N199</f>
        <v>1667.25</v>
      </c>
      <c r="P199" s="302">
        <f>+O199</f>
        <v>1667.25</v>
      </c>
    </row>
    <row r="200" spans="2:16" ht="15" x14ac:dyDescent="0.25">
      <c r="B200" s="727" t="s">
        <v>315</v>
      </c>
      <c r="C200" s="300" t="s">
        <v>45</v>
      </c>
      <c r="D200" s="304">
        <f>D198*D199</f>
        <v>5087463.3224999998</v>
      </c>
      <c r="E200" s="304">
        <f t="shared" ref="E200:O200" si="144">E198*E199</f>
        <v>5087463.3224999998</v>
      </c>
      <c r="F200" s="304">
        <f t="shared" si="144"/>
        <v>5087463.3224999998</v>
      </c>
      <c r="G200" s="304">
        <f t="shared" si="144"/>
        <v>5087463.3224999998</v>
      </c>
      <c r="H200" s="304">
        <f t="shared" si="144"/>
        <v>5087463.3224999998</v>
      </c>
      <c r="I200" s="304">
        <f t="shared" si="144"/>
        <v>5087463.3224999998</v>
      </c>
      <c r="J200" s="304">
        <f t="shared" si="144"/>
        <v>5087463.3224999998</v>
      </c>
      <c r="K200" s="304">
        <f t="shared" si="144"/>
        <v>5087463.3224999998</v>
      </c>
      <c r="L200" s="304">
        <f t="shared" si="144"/>
        <v>5087463.3224999998</v>
      </c>
      <c r="M200" s="304">
        <f t="shared" si="144"/>
        <v>5087463.3224999998</v>
      </c>
      <c r="N200" s="304">
        <f t="shared" si="144"/>
        <v>5087463.3224999998</v>
      </c>
      <c r="O200" s="304">
        <f t="shared" si="144"/>
        <v>5087463.3224999998</v>
      </c>
      <c r="P200" s="305">
        <f>SUM(D200:O200)</f>
        <v>61049559.869999982</v>
      </c>
    </row>
    <row r="201" spans="2:16" x14ac:dyDescent="0.2">
      <c r="B201" s="726" t="s">
        <v>310</v>
      </c>
      <c r="C201" s="300" t="s">
        <v>45</v>
      </c>
      <c r="D201" s="278">
        <v>204.16</v>
      </c>
      <c r="E201" s="301">
        <f>+D201</f>
        <v>204.16</v>
      </c>
      <c r="F201" s="301">
        <f t="shared" ref="F201" si="145">+E201</f>
        <v>204.16</v>
      </c>
      <c r="G201" s="301">
        <f t="shared" ref="G201" si="146">+F201</f>
        <v>204.16</v>
      </c>
      <c r="H201" s="301">
        <f t="shared" ref="H201" si="147">+G201</f>
        <v>204.16</v>
      </c>
      <c r="I201" s="301">
        <f t="shared" ref="I201" si="148">+H201</f>
        <v>204.16</v>
      </c>
      <c r="J201" s="301">
        <f t="shared" ref="J201" si="149">+I201</f>
        <v>204.16</v>
      </c>
      <c r="K201" s="301">
        <f t="shared" ref="K201" si="150">+J201</f>
        <v>204.16</v>
      </c>
      <c r="L201" s="301">
        <f t="shared" ref="L201" si="151">+K201</f>
        <v>204.16</v>
      </c>
      <c r="M201" s="301">
        <f t="shared" ref="M201" si="152">+L201</f>
        <v>204.16</v>
      </c>
      <c r="N201" s="301">
        <f t="shared" ref="N201" si="153">+M201</f>
        <v>204.16</v>
      </c>
      <c r="O201" s="301">
        <f t="shared" ref="O201" si="154">+N201</f>
        <v>204.16</v>
      </c>
      <c r="P201" s="302">
        <f>+O201</f>
        <v>204.16</v>
      </c>
    </row>
    <row r="202" spans="2:16" ht="15" x14ac:dyDescent="0.25">
      <c r="B202" s="727" t="s">
        <v>315</v>
      </c>
      <c r="C202" s="300" t="s">
        <v>45</v>
      </c>
      <c r="D202" s="304">
        <f>D198*D201</f>
        <v>622975.8655999999</v>
      </c>
      <c r="E202" s="304">
        <f t="shared" ref="E202:O202" si="155">E198*E201</f>
        <v>622975.8655999999</v>
      </c>
      <c r="F202" s="304">
        <f t="shared" si="155"/>
        <v>622975.8655999999</v>
      </c>
      <c r="G202" s="304">
        <f t="shared" si="155"/>
        <v>622975.8655999999</v>
      </c>
      <c r="H202" s="304">
        <f t="shared" si="155"/>
        <v>622975.8655999999</v>
      </c>
      <c r="I202" s="304">
        <f t="shared" si="155"/>
        <v>622975.8655999999</v>
      </c>
      <c r="J202" s="304">
        <f t="shared" si="155"/>
        <v>622975.8655999999</v>
      </c>
      <c r="K202" s="304">
        <f t="shared" si="155"/>
        <v>622975.8655999999</v>
      </c>
      <c r="L202" s="304">
        <f t="shared" si="155"/>
        <v>622975.8655999999</v>
      </c>
      <c r="M202" s="304">
        <f t="shared" si="155"/>
        <v>622975.8655999999</v>
      </c>
      <c r="N202" s="304">
        <f t="shared" si="155"/>
        <v>622975.8655999999</v>
      </c>
      <c r="O202" s="304">
        <f t="shared" si="155"/>
        <v>622975.8655999999</v>
      </c>
      <c r="P202" s="305">
        <f>SUM(D202:O202)</f>
        <v>7475710.3872000007</v>
      </c>
    </row>
    <row r="203" spans="2:16" x14ac:dyDescent="0.2">
      <c r="B203" s="726" t="s">
        <v>311</v>
      </c>
      <c r="C203" s="300" t="s">
        <v>45</v>
      </c>
      <c r="D203" s="278"/>
      <c r="E203" s="301">
        <f>+D203</f>
        <v>0</v>
      </c>
      <c r="F203" s="301">
        <f t="shared" ref="F203" si="156">+E203</f>
        <v>0</v>
      </c>
      <c r="G203" s="301">
        <f t="shared" ref="G203" si="157">+F203</f>
        <v>0</v>
      </c>
      <c r="H203" s="301">
        <f t="shared" ref="H203" si="158">+G203</f>
        <v>0</v>
      </c>
      <c r="I203" s="301">
        <f t="shared" ref="I203" si="159">+H203</f>
        <v>0</v>
      </c>
      <c r="J203" s="301">
        <f t="shared" ref="J203" si="160">+I203</f>
        <v>0</v>
      </c>
      <c r="K203" s="301">
        <f t="shared" ref="K203" si="161">+J203</f>
        <v>0</v>
      </c>
      <c r="L203" s="301">
        <f t="shared" ref="L203" si="162">+K203</f>
        <v>0</v>
      </c>
      <c r="M203" s="301">
        <f t="shared" ref="M203" si="163">+L203</f>
        <v>0</v>
      </c>
      <c r="N203" s="301">
        <f t="shared" ref="N203" si="164">+M203</f>
        <v>0</v>
      </c>
      <c r="O203" s="301">
        <f t="shared" ref="O203" si="165">+N203</f>
        <v>0</v>
      </c>
      <c r="P203" s="302">
        <f>+O203</f>
        <v>0</v>
      </c>
    </row>
    <row r="204" spans="2:16" ht="15" x14ac:dyDescent="0.25">
      <c r="B204" s="727" t="s">
        <v>315</v>
      </c>
      <c r="C204" s="300" t="s">
        <v>45</v>
      </c>
      <c r="D204" s="304">
        <f>D198*(D203)</f>
        <v>0</v>
      </c>
      <c r="E204" s="304">
        <f t="shared" ref="E204:O204" si="166">E198*(E203)</f>
        <v>0</v>
      </c>
      <c r="F204" s="304">
        <f t="shared" si="166"/>
        <v>0</v>
      </c>
      <c r="G204" s="304">
        <f t="shared" si="166"/>
        <v>0</v>
      </c>
      <c r="H204" s="304">
        <f t="shared" si="166"/>
        <v>0</v>
      </c>
      <c r="I204" s="304">
        <f t="shared" si="166"/>
        <v>0</v>
      </c>
      <c r="J204" s="304">
        <f t="shared" si="166"/>
        <v>0</v>
      </c>
      <c r="K204" s="304">
        <f t="shared" si="166"/>
        <v>0</v>
      </c>
      <c r="L204" s="304">
        <f t="shared" si="166"/>
        <v>0</v>
      </c>
      <c r="M204" s="304">
        <f t="shared" si="166"/>
        <v>0</v>
      </c>
      <c r="N204" s="304">
        <f t="shared" si="166"/>
        <v>0</v>
      </c>
      <c r="O204" s="304">
        <f t="shared" si="166"/>
        <v>0</v>
      </c>
      <c r="P204" s="305">
        <f>SUM(D204:O204)</f>
        <v>0</v>
      </c>
    </row>
    <row r="205" spans="2:16" ht="15" x14ac:dyDescent="0.25">
      <c r="B205" s="293" t="str">
        <f>+Ingresos!B196</f>
        <v>Tomate riñon</v>
      </c>
      <c r="C205" s="294"/>
      <c r="D205" s="295"/>
      <c r="E205" s="295"/>
      <c r="F205" s="295"/>
      <c r="G205" s="295"/>
      <c r="H205" s="295"/>
      <c r="I205" s="295"/>
      <c r="J205" s="295"/>
      <c r="K205" s="295"/>
      <c r="L205" s="295"/>
      <c r="M205" s="295"/>
      <c r="N205" s="295"/>
      <c r="O205" s="295"/>
      <c r="P205" s="295"/>
    </row>
    <row r="206" spans="2:16" x14ac:dyDescent="0.2">
      <c r="B206" s="726" t="s">
        <v>159</v>
      </c>
      <c r="C206" s="296" t="s">
        <v>372</v>
      </c>
      <c r="D206" s="297">
        <f>+Ingresos!C197</f>
        <v>503.32</v>
      </c>
      <c r="E206" s="297">
        <f>+Ingresos!D197</f>
        <v>503.32</v>
      </c>
      <c r="F206" s="297">
        <f>+Ingresos!E197</f>
        <v>503.32</v>
      </c>
      <c r="G206" s="297">
        <f>+Ingresos!F197</f>
        <v>503.32</v>
      </c>
      <c r="H206" s="297">
        <f>+Ingresos!G197</f>
        <v>503.32</v>
      </c>
      <c r="I206" s="297">
        <f>+Ingresos!H197</f>
        <v>503.32</v>
      </c>
      <c r="J206" s="297">
        <f>+Ingresos!I197</f>
        <v>503.32</v>
      </c>
      <c r="K206" s="297">
        <f>+Ingresos!J197</f>
        <v>503.32</v>
      </c>
      <c r="L206" s="297">
        <f>+Ingresos!K197</f>
        <v>503.32</v>
      </c>
      <c r="M206" s="297">
        <f>+Ingresos!L197</f>
        <v>503.32</v>
      </c>
      <c r="N206" s="297">
        <f>+Ingresos!M197</f>
        <v>503.32</v>
      </c>
      <c r="O206" s="297">
        <f>+Ingresos!N197</f>
        <v>503.32</v>
      </c>
      <c r="P206" s="298">
        <f>SUM(D206:O206)</f>
        <v>6039.8399999999992</v>
      </c>
    </row>
    <row r="207" spans="2:16" x14ac:dyDescent="0.2">
      <c r="B207" s="726" t="s">
        <v>309</v>
      </c>
      <c r="C207" s="300" t="s">
        <v>45</v>
      </c>
      <c r="D207" s="278">
        <f>Ingresos!C200*0.65</f>
        <v>2334.15</v>
      </c>
      <c r="E207" s="301">
        <f>+D207</f>
        <v>2334.15</v>
      </c>
      <c r="F207" s="301">
        <f t="shared" ref="F207" si="167">+E207</f>
        <v>2334.15</v>
      </c>
      <c r="G207" s="301">
        <f t="shared" ref="G207" si="168">+F207</f>
        <v>2334.15</v>
      </c>
      <c r="H207" s="301">
        <f t="shared" ref="H207" si="169">+G207</f>
        <v>2334.15</v>
      </c>
      <c r="I207" s="301">
        <f t="shared" ref="I207" si="170">+H207</f>
        <v>2334.15</v>
      </c>
      <c r="J207" s="301">
        <f t="shared" ref="J207" si="171">+I207</f>
        <v>2334.15</v>
      </c>
      <c r="K207" s="301">
        <f t="shared" ref="K207" si="172">+J207</f>
        <v>2334.15</v>
      </c>
      <c r="L207" s="301">
        <f t="shared" ref="L207" si="173">+K207</f>
        <v>2334.15</v>
      </c>
      <c r="M207" s="301">
        <f t="shared" ref="M207" si="174">+L207</f>
        <v>2334.15</v>
      </c>
      <c r="N207" s="301">
        <f t="shared" ref="N207" si="175">+M207</f>
        <v>2334.15</v>
      </c>
      <c r="O207" s="301">
        <f t="shared" ref="O207" si="176">+N207</f>
        <v>2334.15</v>
      </c>
      <c r="P207" s="302">
        <f>+O207</f>
        <v>2334.15</v>
      </c>
    </row>
    <row r="208" spans="2:16" ht="15" x14ac:dyDescent="0.25">
      <c r="B208" s="727" t="s">
        <v>315</v>
      </c>
      <c r="C208" s="300" t="s">
        <v>45</v>
      </c>
      <c r="D208" s="304">
        <f>D206*D207</f>
        <v>1174824.378</v>
      </c>
      <c r="E208" s="304">
        <f t="shared" ref="E208:O208" si="177">E206*E207</f>
        <v>1174824.378</v>
      </c>
      <c r="F208" s="304">
        <f t="shared" si="177"/>
        <v>1174824.378</v>
      </c>
      <c r="G208" s="304">
        <f t="shared" si="177"/>
        <v>1174824.378</v>
      </c>
      <c r="H208" s="304">
        <f t="shared" si="177"/>
        <v>1174824.378</v>
      </c>
      <c r="I208" s="304">
        <f t="shared" si="177"/>
        <v>1174824.378</v>
      </c>
      <c r="J208" s="304">
        <f t="shared" si="177"/>
        <v>1174824.378</v>
      </c>
      <c r="K208" s="304">
        <f t="shared" si="177"/>
        <v>1174824.378</v>
      </c>
      <c r="L208" s="304">
        <f t="shared" si="177"/>
        <v>1174824.378</v>
      </c>
      <c r="M208" s="304">
        <f t="shared" si="177"/>
        <v>1174824.378</v>
      </c>
      <c r="N208" s="304">
        <f t="shared" si="177"/>
        <v>1174824.378</v>
      </c>
      <c r="O208" s="304">
        <f t="shared" si="177"/>
        <v>1174824.378</v>
      </c>
      <c r="P208" s="305">
        <f>SUM(D208:O208)</f>
        <v>14097892.536000004</v>
      </c>
    </row>
    <row r="209" spans="2:16" x14ac:dyDescent="0.2">
      <c r="B209" s="726" t="s">
        <v>310</v>
      </c>
      <c r="C209" s="300" t="s">
        <v>45</v>
      </c>
      <c r="D209" s="278">
        <v>318</v>
      </c>
      <c r="E209" s="301">
        <f>+D209</f>
        <v>318</v>
      </c>
      <c r="F209" s="301">
        <f t="shared" ref="F209" si="178">+E209</f>
        <v>318</v>
      </c>
      <c r="G209" s="301">
        <f t="shared" ref="G209" si="179">+F209</f>
        <v>318</v>
      </c>
      <c r="H209" s="301">
        <f t="shared" ref="H209" si="180">+G209</f>
        <v>318</v>
      </c>
      <c r="I209" s="301">
        <f t="shared" ref="I209" si="181">+H209</f>
        <v>318</v>
      </c>
      <c r="J209" s="301">
        <f t="shared" ref="J209" si="182">+I209</f>
        <v>318</v>
      </c>
      <c r="K209" s="301">
        <f t="shared" ref="K209" si="183">+J209</f>
        <v>318</v>
      </c>
      <c r="L209" s="301">
        <f t="shared" ref="L209" si="184">+K209</f>
        <v>318</v>
      </c>
      <c r="M209" s="301">
        <f t="shared" ref="M209" si="185">+L209</f>
        <v>318</v>
      </c>
      <c r="N209" s="301">
        <f t="shared" ref="N209" si="186">+M209</f>
        <v>318</v>
      </c>
      <c r="O209" s="301">
        <f t="shared" ref="O209" si="187">+N209</f>
        <v>318</v>
      </c>
      <c r="P209" s="302">
        <f>+O209</f>
        <v>318</v>
      </c>
    </row>
    <row r="210" spans="2:16" ht="15" x14ac:dyDescent="0.25">
      <c r="B210" s="727" t="s">
        <v>315</v>
      </c>
      <c r="C210" s="300" t="s">
        <v>45</v>
      </c>
      <c r="D210" s="304">
        <f>D206*D209</f>
        <v>160055.76</v>
      </c>
      <c r="E210" s="304">
        <f t="shared" ref="E210:O210" si="188">E206*E209</f>
        <v>160055.76</v>
      </c>
      <c r="F210" s="304">
        <f t="shared" si="188"/>
        <v>160055.76</v>
      </c>
      <c r="G210" s="304">
        <f t="shared" si="188"/>
        <v>160055.76</v>
      </c>
      <c r="H210" s="304">
        <f t="shared" si="188"/>
        <v>160055.76</v>
      </c>
      <c r="I210" s="304">
        <f t="shared" si="188"/>
        <v>160055.76</v>
      </c>
      <c r="J210" s="304">
        <f t="shared" si="188"/>
        <v>160055.76</v>
      </c>
      <c r="K210" s="304">
        <f t="shared" si="188"/>
        <v>160055.76</v>
      </c>
      <c r="L210" s="304">
        <f t="shared" si="188"/>
        <v>160055.76</v>
      </c>
      <c r="M210" s="304">
        <f t="shared" si="188"/>
        <v>160055.76</v>
      </c>
      <c r="N210" s="304">
        <f t="shared" si="188"/>
        <v>160055.76</v>
      </c>
      <c r="O210" s="304">
        <f t="shared" si="188"/>
        <v>160055.76</v>
      </c>
      <c r="P210" s="305">
        <f>SUM(D210:O210)</f>
        <v>1920669.12</v>
      </c>
    </row>
    <row r="211" spans="2:16" x14ac:dyDescent="0.2">
      <c r="B211" s="726" t="s">
        <v>311</v>
      </c>
      <c r="C211" s="300" t="s">
        <v>45</v>
      </c>
      <c r="D211" s="278"/>
      <c r="E211" s="301">
        <f>+D211</f>
        <v>0</v>
      </c>
      <c r="F211" s="301">
        <f t="shared" ref="F211" si="189">+E211</f>
        <v>0</v>
      </c>
      <c r="G211" s="301">
        <f t="shared" ref="G211" si="190">+F211</f>
        <v>0</v>
      </c>
      <c r="H211" s="301">
        <f t="shared" ref="H211" si="191">+G211</f>
        <v>0</v>
      </c>
      <c r="I211" s="301">
        <f t="shared" ref="I211" si="192">+H211</f>
        <v>0</v>
      </c>
      <c r="J211" s="301">
        <f t="shared" ref="J211" si="193">+I211</f>
        <v>0</v>
      </c>
      <c r="K211" s="301">
        <f t="shared" ref="K211" si="194">+J211</f>
        <v>0</v>
      </c>
      <c r="L211" s="301">
        <f t="shared" ref="L211" si="195">+K211</f>
        <v>0</v>
      </c>
      <c r="M211" s="301">
        <f t="shared" ref="M211" si="196">+L211</f>
        <v>0</v>
      </c>
      <c r="N211" s="301">
        <f t="shared" ref="N211" si="197">+M211</f>
        <v>0</v>
      </c>
      <c r="O211" s="301">
        <f t="shared" ref="O211" si="198">+N211</f>
        <v>0</v>
      </c>
      <c r="P211" s="302">
        <f>+O211</f>
        <v>0</v>
      </c>
    </row>
    <row r="212" spans="2:16" ht="15" x14ac:dyDescent="0.25">
      <c r="B212" s="727" t="s">
        <v>315</v>
      </c>
      <c r="C212" s="300" t="s">
        <v>45</v>
      </c>
      <c r="D212" s="304">
        <f>D206*(D211)</f>
        <v>0</v>
      </c>
      <c r="E212" s="304">
        <f t="shared" ref="E212:O212" si="199">E206*(E211)</f>
        <v>0</v>
      </c>
      <c r="F212" s="304">
        <f t="shared" si="199"/>
        <v>0</v>
      </c>
      <c r="G212" s="304">
        <f t="shared" si="199"/>
        <v>0</v>
      </c>
      <c r="H212" s="304">
        <f t="shared" si="199"/>
        <v>0</v>
      </c>
      <c r="I212" s="304">
        <f t="shared" si="199"/>
        <v>0</v>
      </c>
      <c r="J212" s="304">
        <f t="shared" si="199"/>
        <v>0</v>
      </c>
      <c r="K212" s="304">
        <f t="shared" si="199"/>
        <v>0</v>
      </c>
      <c r="L212" s="304">
        <f t="shared" si="199"/>
        <v>0</v>
      </c>
      <c r="M212" s="304">
        <f t="shared" si="199"/>
        <v>0</v>
      </c>
      <c r="N212" s="304">
        <f t="shared" si="199"/>
        <v>0</v>
      </c>
      <c r="O212" s="304">
        <f t="shared" si="199"/>
        <v>0</v>
      </c>
      <c r="P212" s="305">
        <f>SUM(D212:O212)</f>
        <v>0</v>
      </c>
    </row>
    <row r="213" spans="2:16" ht="15" x14ac:dyDescent="0.25">
      <c r="B213" s="293" t="str">
        <f>+Ingresos!B204</f>
        <v>Yuca</v>
      </c>
      <c r="C213" s="294"/>
      <c r="D213" s="295"/>
      <c r="E213" s="295"/>
      <c r="F213" s="295"/>
      <c r="G213" s="295"/>
      <c r="H213" s="295"/>
      <c r="I213" s="295"/>
      <c r="J213" s="295"/>
      <c r="K213" s="295"/>
      <c r="L213" s="295"/>
      <c r="M213" s="295"/>
      <c r="N213" s="295"/>
      <c r="O213" s="295"/>
      <c r="P213" s="295"/>
    </row>
    <row r="214" spans="2:16" x14ac:dyDescent="0.2">
      <c r="B214" s="726" t="s">
        <v>159</v>
      </c>
      <c r="C214" s="296" t="s">
        <v>372</v>
      </c>
      <c r="D214" s="297">
        <f>+Ingresos!C205</f>
        <v>8911.75</v>
      </c>
      <c r="E214" s="297">
        <f>+Ingresos!D205</f>
        <v>8911.75</v>
      </c>
      <c r="F214" s="297">
        <f>+Ingresos!E205</f>
        <v>8911.75</v>
      </c>
      <c r="G214" s="297">
        <f>+Ingresos!F205</f>
        <v>8911.75</v>
      </c>
      <c r="H214" s="297">
        <f>+Ingresos!G205</f>
        <v>8911.75</v>
      </c>
      <c r="I214" s="297">
        <f>+Ingresos!H205</f>
        <v>8911.75</v>
      </c>
      <c r="J214" s="297">
        <f>+Ingresos!I205</f>
        <v>8911.75</v>
      </c>
      <c r="K214" s="297">
        <f>+Ingresos!J205</f>
        <v>8911.75</v>
      </c>
      <c r="L214" s="297">
        <f>+Ingresos!K205</f>
        <v>8911.75</v>
      </c>
      <c r="M214" s="297">
        <f>+Ingresos!L205</f>
        <v>8911.75</v>
      </c>
      <c r="N214" s="297">
        <f>+Ingresos!M205</f>
        <v>8911.75</v>
      </c>
      <c r="O214" s="297">
        <f>+Ingresos!N205</f>
        <v>8911.75</v>
      </c>
      <c r="P214" s="298">
        <f>SUM(D214:O214)</f>
        <v>106941</v>
      </c>
    </row>
    <row r="215" spans="2:16" x14ac:dyDescent="0.2">
      <c r="B215" s="726" t="s">
        <v>309</v>
      </c>
      <c r="C215" s="300" t="s">
        <v>45</v>
      </c>
      <c r="D215" s="278">
        <f>Ingresos!C208*0.65</f>
        <v>955.66899999999998</v>
      </c>
      <c r="E215" s="301">
        <f>+D215</f>
        <v>955.66899999999998</v>
      </c>
      <c r="F215" s="301">
        <f t="shared" ref="F215" si="200">+E215</f>
        <v>955.66899999999998</v>
      </c>
      <c r="G215" s="301">
        <f t="shared" ref="G215" si="201">+F215</f>
        <v>955.66899999999998</v>
      </c>
      <c r="H215" s="301">
        <f t="shared" ref="H215" si="202">+G215</f>
        <v>955.66899999999998</v>
      </c>
      <c r="I215" s="301">
        <f t="shared" ref="I215" si="203">+H215</f>
        <v>955.66899999999998</v>
      </c>
      <c r="J215" s="301">
        <f t="shared" ref="J215" si="204">+I215</f>
        <v>955.66899999999998</v>
      </c>
      <c r="K215" s="301">
        <f t="shared" ref="K215" si="205">+J215</f>
        <v>955.66899999999998</v>
      </c>
      <c r="L215" s="301">
        <f t="shared" ref="L215" si="206">+K215</f>
        <v>955.66899999999998</v>
      </c>
      <c r="M215" s="301">
        <f t="shared" ref="M215" si="207">+L215</f>
        <v>955.66899999999998</v>
      </c>
      <c r="N215" s="301">
        <f t="shared" ref="N215" si="208">+M215</f>
        <v>955.66899999999998</v>
      </c>
      <c r="O215" s="301">
        <f t="shared" ref="O215" si="209">+N215</f>
        <v>955.66899999999998</v>
      </c>
      <c r="P215" s="302">
        <f>+O215</f>
        <v>955.66899999999998</v>
      </c>
    </row>
    <row r="216" spans="2:16" ht="15" x14ac:dyDescent="0.25">
      <c r="B216" s="727" t="s">
        <v>315</v>
      </c>
      <c r="C216" s="300" t="s">
        <v>45</v>
      </c>
      <c r="D216" s="304">
        <f>D214*D215</f>
        <v>8516683.2107500006</v>
      </c>
      <c r="E216" s="304">
        <f t="shared" ref="E216:O216" si="210">E214*E215</f>
        <v>8516683.2107500006</v>
      </c>
      <c r="F216" s="304">
        <f t="shared" si="210"/>
        <v>8516683.2107500006</v>
      </c>
      <c r="G216" s="304">
        <f t="shared" si="210"/>
        <v>8516683.2107500006</v>
      </c>
      <c r="H216" s="304">
        <f t="shared" si="210"/>
        <v>8516683.2107500006</v>
      </c>
      <c r="I216" s="304">
        <f t="shared" si="210"/>
        <v>8516683.2107500006</v>
      </c>
      <c r="J216" s="304">
        <f t="shared" si="210"/>
        <v>8516683.2107500006</v>
      </c>
      <c r="K216" s="304">
        <f t="shared" si="210"/>
        <v>8516683.2107500006</v>
      </c>
      <c r="L216" s="304">
        <f t="shared" si="210"/>
        <v>8516683.2107500006</v>
      </c>
      <c r="M216" s="304">
        <f t="shared" si="210"/>
        <v>8516683.2107500006</v>
      </c>
      <c r="N216" s="304">
        <f t="shared" si="210"/>
        <v>8516683.2107500006</v>
      </c>
      <c r="O216" s="304">
        <f t="shared" si="210"/>
        <v>8516683.2107500006</v>
      </c>
      <c r="P216" s="305">
        <f>SUM(D216:O216)</f>
        <v>102200198.529</v>
      </c>
    </row>
    <row r="217" spans="2:16" x14ac:dyDescent="0.2">
      <c r="B217" s="726" t="s">
        <v>310</v>
      </c>
      <c r="C217" s="300" t="s">
        <v>45</v>
      </c>
      <c r="D217" s="278">
        <v>27.33</v>
      </c>
      <c r="E217" s="301">
        <f>+D217</f>
        <v>27.33</v>
      </c>
      <c r="F217" s="301">
        <f t="shared" ref="F217" si="211">+E217</f>
        <v>27.33</v>
      </c>
      <c r="G217" s="301">
        <f t="shared" ref="G217" si="212">+F217</f>
        <v>27.33</v>
      </c>
      <c r="H217" s="301">
        <f t="shared" ref="H217" si="213">+G217</f>
        <v>27.33</v>
      </c>
      <c r="I217" s="301">
        <f t="shared" ref="I217" si="214">+H217</f>
        <v>27.33</v>
      </c>
      <c r="J217" s="301">
        <f t="shared" ref="J217" si="215">+I217</f>
        <v>27.33</v>
      </c>
      <c r="K217" s="301">
        <f t="shared" ref="K217" si="216">+J217</f>
        <v>27.33</v>
      </c>
      <c r="L217" s="301">
        <f t="shared" ref="L217" si="217">+K217</f>
        <v>27.33</v>
      </c>
      <c r="M217" s="301">
        <f t="shared" ref="M217" si="218">+L217</f>
        <v>27.33</v>
      </c>
      <c r="N217" s="301">
        <f t="shared" ref="N217" si="219">+M217</f>
        <v>27.33</v>
      </c>
      <c r="O217" s="301">
        <f t="shared" ref="O217" si="220">+N217</f>
        <v>27.33</v>
      </c>
      <c r="P217" s="302">
        <f>+O217</f>
        <v>27.33</v>
      </c>
    </row>
    <row r="218" spans="2:16" ht="15" x14ac:dyDescent="0.25">
      <c r="B218" s="727" t="s">
        <v>315</v>
      </c>
      <c r="C218" s="300" t="s">
        <v>45</v>
      </c>
      <c r="D218" s="304">
        <f>D214*D217</f>
        <v>243558.12749999997</v>
      </c>
      <c r="E218" s="304">
        <f t="shared" ref="E218:O218" si="221">E214*E217</f>
        <v>243558.12749999997</v>
      </c>
      <c r="F218" s="304">
        <f t="shared" si="221"/>
        <v>243558.12749999997</v>
      </c>
      <c r="G218" s="304">
        <f t="shared" si="221"/>
        <v>243558.12749999997</v>
      </c>
      <c r="H218" s="304">
        <f t="shared" si="221"/>
        <v>243558.12749999997</v>
      </c>
      <c r="I218" s="304">
        <f t="shared" si="221"/>
        <v>243558.12749999997</v>
      </c>
      <c r="J218" s="304">
        <f t="shared" si="221"/>
        <v>243558.12749999997</v>
      </c>
      <c r="K218" s="304">
        <f t="shared" si="221"/>
        <v>243558.12749999997</v>
      </c>
      <c r="L218" s="304">
        <f t="shared" si="221"/>
        <v>243558.12749999997</v>
      </c>
      <c r="M218" s="304">
        <f t="shared" si="221"/>
        <v>243558.12749999997</v>
      </c>
      <c r="N218" s="304">
        <f t="shared" si="221"/>
        <v>243558.12749999997</v>
      </c>
      <c r="O218" s="304">
        <f t="shared" si="221"/>
        <v>243558.12749999997</v>
      </c>
      <c r="P218" s="305">
        <f>SUM(D218:O218)</f>
        <v>2922697.53</v>
      </c>
    </row>
    <row r="219" spans="2:16" x14ac:dyDescent="0.2">
      <c r="B219" s="726" t="s">
        <v>311</v>
      </c>
      <c r="C219" s="300" t="s">
        <v>45</v>
      </c>
      <c r="D219" s="278"/>
      <c r="E219" s="301">
        <f>+D219</f>
        <v>0</v>
      </c>
      <c r="F219" s="301">
        <f t="shared" ref="F219" si="222">+E219</f>
        <v>0</v>
      </c>
      <c r="G219" s="301">
        <f t="shared" ref="G219" si="223">+F219</f>
        <v>0</v>
      </c>
      <c r="H219" s="301">
        <f t="shared" ref="H219" si="224">+G219</f>
        <v>0</v>
      </c>
      <c r="I219" s="301">
        <f t="shared" ref="I219" si="225">+H219</f>
        <v>0</v>
      </c>
      <c r="J219" s="301">
        <f t="shared" ref="J219" si="226">+I219</f>
        <v>0</v>
      </c>
      <c r="K219" s="301">
        <f t="shared" ref="K219" si="227">+J219</f>
        <v>0</v>
      </c>
      <c r="L219" s="301">
        <f t="shared" ref="L219" si="228">+K219</f>
        <v>0</v>
      </c>
      <c r="M219" s="301">
        <f t="shared" ref="M219" si="229">+L219</f>
        <v>0</v>
      </c>
      <c r="N219" s="301">
        <f t="shared" ref="N219" si="230">+M219</f>
        <v>0</v>
      </c>
      <c r="O219" s="301">
        <f t="shared" ref="O219" si="231">+N219</f>
        <v>0</v>
      </c>
      <c r="P219" s="302">
        <f>+O219</f>
        <v>0</v>
      </c>
    </row>
    <row r="220" spans="2:16" ht="15" x14ac:dyDescent="0.25">
      <c r="B220" s="727" t="s">
        <v>315</v>
      </c>
      <c r="C220" s="300" t="s">
        <v>45</v>
      </c>
      <c r="D220" s="304">
        <f>D214*(D219)</f>
        <v>0</v>
      </c>
      <c r="E220" s="304">
        <f t="shared" ref="E220:O220" si="232">E214*(E219)</f>
        <v>0</v>
      </c>
      <c r="F220" s="304">
        <f t="shared" si="232"/>
        <v>0</v>
      </c>
      <c r="G220" s="304">
        <f t="shared" si="232"/>
        <v>0</v>
      </c>
      <c r="H220" s="304">
        <f t="shared" si="232"/>
        <v>0</v>
      </c>
      <c r="I220" s="304">
        <f t="shared" si="232"/>
        <v>0</v>
      </c>
      <c r="J220" s="304">
        <f t="shared" si="232"/>
        <v>0</v>
      </c>
      <c r="K220" s="304">
        <f t="shared" si="232"/>
        <v>0</v>
      </c>
      <c r="L220" s="304">
        <f t="shared" si="232"/>
        <v>0</v>
      </c>
      <c r="M220" s="304">
        <f t="shared" si="232"/>
        <v>0</v>
      </c>
      <c r="N220" s="304">
        <f t="shared" si="232"/>
        <v>0</v>
      </c>
      <c r="O220" s="304">
        <f t="shared" si="232"/>
        <v>0</v>
      </c>
      <c r="P220" s="305">
        <f>SUM(D220:O220)</f>
        <v>0</v>
      </c>
    </row>
    <row r="221" spans="2:16" ht="15" x14ac:dyDescent="0.25">
      <c r="B221" s="293" t="str">
        <f>+Ingresos!B212</f>
        <v>Zanahoria</v>
      </c>
      <c r="C221" s="294"/>
      <c r="D221" s="295"/>
      <c r="E221" s="295"/>
      <c r="F221" s="295"/>
      <c r="G221" s="295"/>
      <c r="H221" s="295"/>
      <c r="I221" s="295"/>
      <c r="J221" s="295"/>
      <c r="K221" s="295"/>
      <c r="L221" s="295"/>
      <c r="M221" s="295"/>
      <c r="N221" s="295"/>
      <c r="O221" s="295"/>
      <c r="P221" s="295"/>
    </row>
    <row r="222" spans="2:16" x14ac:dyDescent="0.2">
      <c r="B222" s="726" t="s">
        <v>159</v>
      </c>
      <c r="C222" s="296" t="s">
        <v>372</v>
      </c>
      <c r="D222" s="297">
        <f>+Ingresos!C213</f>
        <v>623.35</v>
      </c>
      <c r="E222" s="297">
        <f>+Ingresos!D213</f>
        <v>623.35</v>
      </c>
      <c r="F222" s="297">
        <f>+Ingresos!E213</f>
        <v>623.35</v>
      </c>
      <c r="G222" s="297">
        <f>+Ingresos!F213</f>
        <v>623.35</v>
      </c>
      <c r="H222" s="297">
        <f>+Ingresos!G213</f>
        <v>623.35</v>
      </c>
      <c r="I222" s="297">
        <f>+Ingresos!H213</f>
        <v>623.35</v>
      </c>
      <c r="J222" s="297">
        <f>+Ingresos!I213</f>
        <v>623.35</v>
      </c>
      <c r="K222" s="297">
        <f>+Ingresos!J213</f>
        <v>623.35</v>
      </c>
      <c r="L222" s="297">
        <f>+Ingresos!K213</f>
        <v>623.35</v>
      </c>
      <c r="M222" s="297">
        <f>+Ingresos!L213</f>
        <v>623.35</v>
      </c>
      <c r="N222" s="297">
        <f>+Ingresos!M213</f>
        <v>623.35</v>
      </c>
      <c r="O222" s="297">
        <f>+Ingresos!N213</f>
        <v>623.35</v>
      </c>
      <c r="P222" s="298">
        <f>SUM(D222:O222)</f>
        <v>7480.2000000000016</v>
      </c>
    </row>
    <row r="223" spans="2:16" x14ac:dyDescent="0.2">
      <c r="B223" s="726" t="s">
        <v>309</v>
      </c>
      <c r="C223" s="300" t="s">
        <v>45</v>
      </c>
      <c r="D223" s="278">
        <f>Ingresos!C216*0.65</f>
        <v>578.20100000000002</v>
      </c>
      <c r="E223" s="301">
        <f>+D223</f>
        <v>578.20100000000002</v>
      </c>
      <c r="F223" s="301">
        <f t="shared" ref="F223" si="233">+E223</f>
        <v>578.20100000000002</v>
      </c>
      <c r="G223" s="301">
        <f t="shared" ref="G223" si="234">+F223</f>
        <v>578.20100000000002</v>
      </c>
      <c r="H223" s="301">
        <f t="shared" ref="H223" si="235">+G223</f>
        <v>578.20100000000002</v>
      </c>
      <c r="I223" s="301">
        <f t="shared" ref="I223" si="236">+H223</f>
        <v>578.20100000000002</v>
      </c>
      <c r="J223" s="301">
        <f t="shared" ref="J223" si="237">+I223</f>
        <v>578.20100000000002</v>
      </c>
      <c r="K223" s="301">
        <f t="shared" ref="K223" si="238">+J223</f>
        <v>578.20100000000002</v>
      </c>
      <c r="L223" s="301">
        <f t="shared" ref="L223" si="239">+K223</f>
        <v>578.20100000000002</v>
      </c>
      <c r="M223" s="301">
        <f t="shared" ref="M223" si="240">+L223</f>
        <v>578.20100000000002</v>
      </c>
      <c r="N223" s="301">
        <f t="shared" ref="N223" si="241">+M223</f>
        <v>578.20100000000002</v>
      </c>
      <c r="O223" s="301">
        <f t="shared" ref="O223" si="242">+N223</f>
        <v>578.20100000000002</v>
      </c>
      <c r="P223" s="302">
        <f>+O223</f>
        <v>578.20100000000002</v>
      </c>
    </row>
    <row r="224" spans="2:16" ht="15" x14ac:dyDescent="0.25">
      <c r="B224" s="727" t="s">
        <v>315</v>
      </c>
      <c r="C224" s="300" t="s">
        <v>45</v>
      </c>
      <c r="D224" s="304">
        <f>D222*D223</f>
        <v>360421.59335000004</v>
      </c>
      <c r="E224" s="304">
        <f t="shared" ref="E224:O224" si="243">E222*E223</f>
        <v>360421.59335000004</v>
      </c>
      <c r="F224" s="304">
        <f t="shared" si="243"/>
        <v>360421.59335000004</v>
      </c>
      <c r="G224" s="304">
        <f t="shared" si="243"/>
        <v>360421.59335000004</v>
      </c>
      <c r="H224" s="304">
        <f t="shared" si="243"/>
        <v>360421.59335000004</v>
      </c>
      <c r="I224" s="304">
        <f t="shared" si="243"/>
        <v>360421.59335000004</v>
      </c>
      <c r="J224" s="304">
        <f t="shared" si="243"/>
        <v>360421.59335000004</v>
      </c>
      <c r="K224" s="304">
        <f t="shared" si="243"/>
        <v>360421.59335000004</v>
      </c>
      <c r="L224" s="304">
        <f t="shared" si="243"/>
        <v>360421.59335000004</v>
      </c>
      <c r="M224" s="304">
        <f t="shared" si="243"/>
        <v>360421.59335000004</v>
      </c>
      <c r="N224" s="304">
        <f t="shared" si="243"/>
        <v>360421.59335000004</v>
      </c>
      <c r="O224" s="304">
        <f t="shared" si="243"/>
        <v>360421.59335000004</v>
      </c>
      <c r="P224" s="305">
        <f>SUM(D224:O224)</f>
        <v>4325059.1202000016</v>
      </c>
    </row>
    <row r="225" spans="2:16" x14ac:dyDescent="0.2">
      <c r="B225" s="726" t="s">
        <v>310</v>
      </c>
      <c r="C225" s="300" t="s">
        <v>45</v>
      </c>
      <c r="D225" s="278">
        <v>18</v>
      </c>
      <c r="E225" s="301">
        <f>+D225</f>
        <v>18</v>
      </c>
      <c r="F225" s="301">
        <f t="shared" ref="F225" si="244">+E225</f>
        <v>18</v>
      </c>
      <c r="G225" s="301">
        <f t="shared" ref="G225" si="245">+F225</f>
        <v>18</v>
      </c>
      <c r="H225" s="301">
        <f t="shared" ref="H225" si="246">+G225</f>
        <v>18</v>
      </c>
      <c r="I225" s="301">
        <f t="shared" ref="I225" si="247">+H225</f>
        <v>18</v>
      </c>
      <c r="J225" s="301">
        <f t="shared" ref="J225" si="248">+I225</f>
        <v>18</v>
      </c>
      <c r="K225" s="301">
        <f t="shared" ref="K225" si="249">+J225</f>
        <v>18</v>
      </c>
      <c r="L225" s="301">
        <f t="shared" ref="L225" si="250">+K225</f>
        <v>18</v>
      </c>
      <c r="M225" s="301">
        <f t="shared" ref="M225" si="251">+L225</f>
        <v>18</v>
      </c>
      <c r="N225" s="301">
        <f t="shared" ref="N225" si="252">+M225</f>
        <v>18</v>
      </c>
      <c r="O225" s="301">
        <f t="shared" ref="O225" si="253">+N225</f>
        <v>18</v>
      </c>
      <c r="P225" s="302">
        <f>+O225</f>
        <v>18</v>
      </c>
    </row>
    <row r="226" spans="2:16" ht="15" x14ac:dyDescent="0.25">
      <c r="B226" s="727" t="s">
        <v>315</v>
      </c>
      <c r="C226" s="300" t="s">
        <v>45</v>
      </c>
      <c r="D226" s="304">
        <f>D222*D225</f>
        <v>11220.300000000001</v>
      </c>
      <c r="E226" s="304">
        <f t="shared" ref="E226:O226" si="254">E222*E225</f>
        <v>11220.300000000001</v>
      </c>
      <c r="F226" s="304">
        <f t="shared" si="254"/>
        <v>11220.300000000001</v>
      </c>
      <c r="G226" s="304">
        <f t="shared" si="254"/>
        <v>11220.300000000001</v>
      </c>
      <c r="H226" s="304">
        <f t="shared" si="254"/>
        <v>11220.300000000001</v>
      </c>
      <c r="I226" s="304">
        <f t="shared" si="254"/>
        <v>11220.300000000001</v>
      </c>
      <c r="J226" s="304">
        <f t="shared" si="254"/>
        <v>11220.300000000001</v>
      </c>
      <c r="K226" s="304">
        <f t="shared" si="254"/>
        <v>11220.300000000001</v>
      </c>
      <c r="L226" s="304">
        <f t="shared" si="254"/>
        <v>11220.300000000001</v>
      </c>
      <c r="M226" s="304">
        <f t="shared" si="254"/>
        <v>11220.300000000001</v>
      </c>
      <c r="N226" s="304">
        <f t="shared" si="254"/>
        <v>11220.300000000001</v>
      </c>
      <c r="O226" s="304">
        <f t="shared" si="254"/>
        <v>11220.300000000001</v>
      </c>
      <c r="P226" s="305">
        <f>SUM(D226:O226)</f>
        <v>134643.6</v>
      </c>
    </row>
    <row r="227" spans="2:16" x14ac:dyDescent="0.2">
      <c r="B227" s="726" t="s">
        <v>311</v>
      </c>
      <c r="C227" s="300" t="s">
        <v>45</v>
      </c>
      <c r="D227" s="278"/>
      <c r="E227" s="301">
        <f>+D227</f>
        <v>0</v>
      </c>
      <c r="F227" s="301">
        <f t="shared" ref="F227" si="255">+E227</f>
        <v>0</v>
      </c>
      <c r="G227" s="301">
        <f t="shared" ref="G227" si="256">+F227</f>
        <v>0</v>
      </c>
      <c r="H227" s="301">
        <f t="shared" ref="H227" si="257">+G227</f>
        <v>0</v>
      </c>
      <c r="I227" s="301">
        <f t="shared" ref="I227" si="258">+H227</f>
        <v>0</v>
      </c>
      <c r="J227" s="301">
        <f t="shared" ref="J227" si="259">+I227</f>
        <v>0</v>
      </c>
      <c r="K227" s="301">
        <f t="shared" ref="K227" si="260">+J227</f>
        <v>0</v>
      </c>
      <c r="L227" s="301">
        <f t="shared" ref="L227" si="261">+K227</f>
        <v>0</v>
      </c>
      <c r="M227" s="301">
        <f t="shared" ref="M227" si="262">+L227</f>
        <v>0</v>
      </c>
      <c r="N227" s="301">
        <f t="shared" ref="N227" si="263">+M227</f>
        <v>0</v>
      </c>
      <c r="O227" s="301">
        <f t="shared" ref="O227" si="264">+N227</f>
        <v>0</v>
      </c>
      <c r="P227" s="302">
        <f>+O227</f>
        <v>0</v>
      </c>
    </row>
    <row r="228" spans="2:16" ht="15" x14ac:dyDescent="0.25">
      <c r="B228" s="727" t="s">
        <v>315</v>
      </c>
      <c r="C228" s="300" t="s">
        <v>45</v>
      </c>
      <c r="D228" s="304">
        <f>D222*(D227)</f>
        <v>0</v>
      </c>
      <c r="E228" s="304">
        <f t="shared" ref="E228:O228" si="265">E222*(E227)</f>
        <v>0</v>
      </c>
      <c r="F228" s="304">
        <f t="shared" si="265"/>
        <v>0</v>
      </c>
      <c r="G228" s="304">
        <f t="shared" si="265"/>
        <v>0</v>
      </c>
      <c r="H228" s="304">
        <f t="shared" si="265"/>
        <v>0</v>
      </c>
      <c r="I228" s="304">
        <f t="shared" si="265"/>
        <v>0</v>
      </c>
      <c r="J228" s="304">
        <f t="shared" si="265"/>
        <v>0</v>
      </c>
      <c r="K228" s="304">
        <f t="shared" si="265"/>
        <v>0</v>
      </c>
      <c r="L228" s="304">
        <f t="shared" si="265"/>
        <v>0</v>
      </c>
      <c r="M228" s="304">
        <f t="shared" si="265"/>
        <v>0</v>
      </c>
      <c r="N228" s="304">
        <f t="shared" si="265"/>
        <v>0</v>
      </c>
      <c r="O228" s="304">
        <f t="shared" si="265"/>
        <v>0</v>
      </c>
      <c r="P228" s="305">
        <f>SUM(D228:O228)</f>
        <v>0</v>
      </c>
    </row>
    <row r="229" spans="2:16" ht="15" x14ac:dyDescent="0.25">
      <c r="B229" s="293" t="str">
        <f>+Ingresos!B220</f>
        <v>Aguacate Papelillo</v>
      </c>
      <c r="C229" s="294"/>
      <c r="D229" s="295"/>
      <c r="E229" s="295"/>
      <c r="F229" s="295"/>
      <c r="G229" s="295"/>
      <c r="H229" s="295"/>
      <c r="I229" s="295"/>
      <c r="J229" s="295"/>
      <c r="K229" s="295"/>
      <c r="L229" s="295"/>
      <c r="M229" s="295"/>
      <c r="N229" s="295"/>
      <c r="O229" s="295"/>
      <c r="P229" s="295"/>
    </row>
    <row r="230" spans="2:16" x14ac:dyDescent="0.2">
      <c r="B230" s="726" t="s">
        <v>159</v>
      </c>
      <c r="C230" s="296" t="s">
        <v>372</v>
      </c>
      <c r="D230" s="297">
        <f>+Ingresos!C221</f>
        <v>1959.1</v>
      </c>
      <c r="E230" s="297">
        <f>+Ingresos!D221</f>
        <v>1959.1</v>
      </c>
      <c r="F230" s="297">
        <f>+Ingresos!E221</f>
        <v>1959.1</v>
      </c>
      <c r="G230" s="297">
        <f>+Ingresos!F221</f>
        <v>1959.1</v>
      </c>
      <c r="H230" s="297">
        <f>+Ingresos!G221</f>
        <v>1959.1</v>
      </c>
      <c r="I230" s="297">
        <f>+Ingresos!H221</f>
        <v>1959.1</v>
      </c>
      <c r="J230" s="297">
        <f>+Ingresos!I221</f>
        <v>1959.1</v>
      </c>
      <c r="K230" s="297">
        <f>+Ingresos!J221</f>
        <v>1959.1</v>
      </c>
      <c r="L230" s="297">
        <f>+Ingresos!K221</f>
        <v>1959.1</v>
      </c>
      <c r="M230" s="297">
        <f>+Ingresos!L221</f>
        <v>1959.1</v>
      </c>
      <c r="N230" s="297">
        <f>+Ingresos!M221</f>
        <v>1959.1</v>
      </c>
      <c r="O230" s="297">
        <f>+Ingresos!N221</f>
        <v>1959.1</v>
      </c>
      <c r="P230" s="298">
        <f>SUM(D230:O230)</f>
        <v>23509.199999999997</v>
      </c>
    </row>
    <row r="231" spans="2:16" x14ac:dyDescent="0.2">
      <c r="B231" s="726" t="s">
        <v>309</v>
      </c>
      <c r="C231" s="300" t="s">
        <v>45</v>
      </c>
      <c r="D231" s="278">
        <f>Ingresos!C224*0.65</f>
        <v>3245.8009999999999</v>
      </c>
      <c r="E231" s="301">
        <f>+D231</f>
        <v>3245.8009999999999</v>
      </c>
      <c r="F231" s="301">
        <f t="shared" ref="F231" si="266">+E231</f>
        <v>3245.8009999999999</v>
      </c>
      <c r="G231" s="301">
        <f t="shared" ref="G231" si="267">+F231</f>
        <v>3245.8009999999999</v>
      </c>
      <c r="H231" s="301">
        <f t="shared" ref="H231" si="268">+G231</f>
        <v>3245.8009999999999</v>
      </c>
      <c r="I231" s="301">
        <f t="shared" ref="I231" si="269">+H231</f>
        <v>3245.8009999999999</v>
      </c>
      <c r="J231" s="301">
        <f t="shared" ref="J231" si="270">+I231</f>
        <v>3245.8009999999999</v>
      </c>
      <c r="K231" s="301">
        <f t="shared" ref="K231" si="271">+J231</f>
        <v>3245.8009999999999</v>
      </c>
      <c r="L231" s="301">
        <f t="shared" ref="L231" si="272">+K231</f>
        <v>3245.8009999999999</v>
      </c>
      <c r="M231" s="301">
        <f t="shared" ref="M231" si="273">+L231</f>
        <v>3245.8009999999999</v>
      </c>
      <c r="N231" s="301">
        <f t="shared" ref="N231" si="274">+M231</f>
        <v>3245.8009999999999</v>
      </c>
      <c r="O231" s="301">
        <f t="shared" ref="O231" si="275">+N231</f>
        <v>3245.8009999999999</v>
      </c>
      <c r="P231" s="302">
        <f>+O231</f>
        <v>3245.8009999999999</v>
      </c>
    </row>
    <row r="232" spans="2:16" ht="15" x14ac:dyDescent="0.25">
      <c r="B232" s="727" t="s">
        <v>315</v>
      </c>
      <c r="C232" s="300" t="s">
        <v>45</v>
      </c>
      <c r="D232" s="304">
        <f>D230*D231</f>
        <v>6358848.7390999999</v>
      </c>
      <c r="E232" s="304">
        <f t="shared" ref="E232:O232" si="276">E230*E231</f>
        <v>6358848.7390999999</v>
      </c>
      <c r="F232" s="304">
        <f t="shared" si="276"/>
        <v>6358848.7390999999</v>
      </c>
      <c r="G232" s="304">
        <f t="shared" si="276"/>
        <v>6358848.7390999999</v>
      </c>
      <c r="H232" s="304">
        <f t="shared" si="276"/>
        <v>6358848.7390999999</v>
      </c>
      <c r="I232" s="304">
        <f t="shared" si="276"/>
        <v>6358848.7390999999</v>
      </c>
      <c r="J232" s="304">
        <f t="shared" si="276"/>
        <v>6358848.7390999999</v>
      </c>
      <c r="K232" s="304">
        <f t="shared" si="276"/>
        <v>6358848.7390999999</v>
      </c>
      <c r="L232" s="304">
        <f t="shared" si="276"/>
        <v>6358848.7390999999</v>
      </c>
      <c r="M232" s="304">
        <f t="shared" si="276"/>
        <v>6358848.7390999999</v>
      </c>
      <c r="N232" s="304">
        <f t="shared" si="276"/>
        <v>6358848.7390999999</v>
      </c>
      <c r="O232" s="304">
        <f t="shared" si="276"/>
        <v>6358848.7390999999</v>
      </c>
      <c r="P232" s="305">
        <f>SUM(D232:O232)</f>
        <v>76306184.869200006</v>
      </c>
    </row>
    <row r="233" spans="2:16" x14ac:dyDescent="0.2">
      <c r="B233" s="726" t="s">
        <v>310</v>
      </c>
      <c r="C233" s="300" t="s">
        <v>45</v>
      </c>
      <c r="D233" s="278">
        <v>158</v>
      </c>
      <c r="E233" s="301">
        <f>+D233</f>
        <v>158</v>
      </c>
      <c r="F233" s="301">
        <f t="shared" ref="F233" si="277">+E233</f>
        <v>158</v>
      </c>
      <c r="G233" s="301">
        <f t="shared" ref="G233" si="278">+F233</f>
        <v>158</v>
      </c>
      <c r="H233" s="301">
        <f t="shared" ref="H233" si="279">+G233</f>
        <v>158</v>
      </c>
      <c r="I233" s="301">
        <f t="shared" ref="I233" si="280">+H233</f>
        <v>158</v>
      </c>
      <c r="J233" s="301">
        <f t="shared" ref="J233" si="281">+I233</f>
        <v>158</v>
      </c>
      <c r="K233" s="301">
        <f t="shared" ref="K233" si="282">+J233</f>
        <v>158</v>
      </c>
      <c r="L233" s="301">
        <f t="shared" ref="L233" si="283">+K233</f>
        <v>158</v>
      </c>
      <c r="M233" s="301">
        <f t="shared" ref="M233" si="284">+L233</f>
        <v>158</v>
      </c>
      <c r="N233" s="301">
        <f t="shared" ref="N233" si="285">+M233</f>
        <v>158</v>
      </c>
      <c r="O233" s="301">
        <f t="shared" ref="O233" si="286">+N233</f>
        <v>158</v>
      </c>
      <c r="P233" s="302">
        <f>+O233</f>
        <v>158</v>
      </c>
    </row>
    <row r="234" spans="2:16" ht="15" x14ac:dyDescent="0.25">
      <c r="B234" s="727" t="s">
        <v>315</v>
      </c>
      <c r="C234" s="300" t="s">
        <v>45</v>
      </c>
      <c r="D234" s="304">
        <f>D230*D233</f>
        <v>309537.8</v>
      </c>
      <c r="E234" s="304">
        <f t="shared" ref="E234:O234" si="287">E230*E233</f>
        <v>309537.8</v>
      </c>
      <c r="F234" s="304">
        <f t="shared" si="287"/>
        <v>309537.8</v>
      </c>
      <c r="G234" s="304">
        <f t="shared" si="287"/>
        <v>309537.8</v>
      </c>
      <c r="H234" s="304">
        <f t="shared" si="287"/>
        <v>309537.8</v>
      </c>
      <c r="I234" s="304">
        <f t="shared" si="287"/>
        <v>309537.8</v>
      </c>
      <c r="J234" s="304">
        <f t="shared" si="287"/>
        <v>309537.8</v>
      </c>
      <c r="K234" s="304">
        <f t="shared" si="287"/>
        <v>309537.8</v>
      </c>
      <c r="L234" s="304">
        <f t="shared" si="287"/>
        <v>309537.8</v>
      </c>
      <c r="M234" s="304">
        <f t="shared" si="287"/>
        <v>309537.8</v>
      </c>
      <c r="N234" s="304">
        <f t="shared" si="287"/>
        <v>309537.8</v>
      </c>
      <c r="O234" s="304">
        <f t="shared" si="287"/>
        <v>309537.8</v>
      </c>
      <c r="P234" s="305">
        <f>SUM(D234:O234)</f>
        <v>3714453.5999999992</v>
      </c>
    </row>
    <row r="235" spans="2:16" x14ac:dyDescent="0.2">
      <c r="B235" s="726" t="s">
        <v>311</v>
      </c>
      <c r="C235" s="300" t="s">
        <v>45</v>
      </c>
      <c r="D235" s="278"/>
      <c r="E235" s="301">
        <f>+D235</f>
        <v>0</v>
      </c>
      <c r="F235" s="301">
        <f t="shared" ref="F235" si="288">+E235</f>
        <v>0</v>
      </c>
      <c r="G235" s="301">
        <f t="shared" ref="G235" si="289">+F235</f>
        <v>0</v>
      </c>
      <c r="H235" s="301">
        <f t="shared" ref="H235" si="290">+G235</f>
        <v>0</v>
      </c>
      <c r="I235" s="301">
        <f t="shared" ref="I235" si="291">+H235</f>
        <v>0</v>
      </c>
      <c r="J235" s="301">
        <f t="shared" ref="J235" si="292">+I235</f>
        <v>0</v>
      </c>
      <c r="K235" s="301">
        <f t="shared" ref="K235" si="293">+J235</f>
        <v>0</v>
      </c>
      <c r="L235" s="301">
        <f t="shared" ref="L235" si="294">+K235</f>
        <v>0</v>
      </c>
      <c r="M235" s="301">
        <f t="shared" ref="M235" si="295">+L235</f>
        <v>0</v>
      </c>
      <c r="N235" s="301">
        <f t="shared" ref="N235" si="296">+M235</f>
        <v>0</v>
      </c>
      <c r="O235" s="301">
        <f t="shared" ref="O235" si="297">+N235</f>
        <v>0</v>
      </c>
      <c r="P235" s="302">
        <f>+O235</f>
        <v>0</v>
      </c>
    </row>
    <row r="236" spans="2:16" ht="15" x14ac:dyDescent="0.25">
      <c r="B236" s="727" t="s">
        <v>315</v>
      </c>
      <c r="C236" s="300" t="s">
        <v>45</v>
      </c>
      <c r="D236" s="304">
        <f>D230*(D235)</f>
        <v>0</v>
      </c>
      <c r="E236" s="304">
        <f t="shared" ref="E236:O236" si="298">E230*(E235)</f>
        <v>0</v>
      </c>
      <c r="F236" s="304">
        <f t="shared" si="298"/>
        <v>0</v>
      </c>
      <c r="G236" s="304">
        <f t="shared" si="298"/>
        <v>0</v>
      </c>
      <c r="H236" s="304">
        <f t="shared" si="298"/>
        <v>0</v>
      </c>
      <c r="I236" s="304">
        <f t="shared" si="298"/>
        <v>0</v>
      </c>
      <c r="J236" s="304">
        <f t="shared" si="298"/>
        <v>0</v>
      </c>
      <c r="K236" s="304">
        <f t="shared" si="298"/>
        <v>0</v>
      </c>
      <c r="L236" s="304">
        <f t="shared" si="298"/>
        <v>0</v>
      </c>
      <c r="M236" s="304">
        <f t="shared" si="298"/>
        <v>0</v>
      </c>
      <c r="N236" s="304">
        <f t="shared" si="298"/>
        <v>0</v>
      </c>
      <c r="O236" s="304">
        <f t="shared" si="298"/>
        <v>0</v>
      </c>
      <c r="P236" s="305">
        <f>SUM(D236:O236)</f>
        <v>0</v>
      </c>
    </row>
    <row r="237" spans="2:16" ht="15" x14ac:dyDescent="0.25">
      <c r="B237" s="293" t="str">
        <f>+Ingresos!B228</f>
        <v>Banano criollo</v>
      </c>
      <c r="C237" s="294"/>
      <c r="D237" s="295"/>
      <c r="E237" s="295"/>
      <c r="F237" s="295"/>
      <c r="G237" s="295"/>
      <c r="H237" s="295"/>
      <c r="I237" s="295"/>
      <c r="J237" s="295"/>
      <c r="K237" s="295"/>
      <c r="L237" s="295"/>
      <c r="M237" s="295"/>
      <c r="N237" s="295"/>
      <c r="O237" s="295"/>
      <c r="P237" s="295"/>
    </row>
    <row r="238" spans="2:16" x14ac:dyDescent="0.2">
      <c r="B238" s="726" t="s">
        <v>159</v>
      </c>
      <c r="C238" s="296" t="s">
        <v>372</v>
      </c>
      <c r="D238" s="297">
        <f>+Ingresos!C229</f>
        <v>181.49</v>
      </c>
      <c r="E238" s="297">
        <f>+Ingresos!D229</f>
        <v>181.49</v>
      </c>
      <c r="F238" s="297">
        <f>+Ingresos!E229</f>
        <v>181.49</v>
      </c>
      <c r="G238" s="297">
        <f>+Ingresos!F229</f>
        <v>181.49</v>
      </c>
      <c r="H238" s="297">
        <f>+Ingresos!G229</f>
        <v>181.49</v>
      </c>
      <c r="I238" s="297">
        <f>+Ingresos!H229</f>
        <v>181.49</v>
      </c>
      <c r="J238" s="297">
        <f>+Ingresos!I229</f>
        <v>181.49</v>
      </c>
      <c r="K238" s="297">
        <f>+Ingresos!J229</f>
        <v>181.49</v>
      </c>
      <c r="L238" s="297">
        <f>+Ingresos!K229</f>
        <v>181.49</v>
      </c>
      <c r="M238" s="297">
        <f>+Ingresos!L229</f>
        <v>181.49</v>
      </c>
      <c r="N238" s="297">
        <f>+Ingresos!M229</f>
        <v>181.49</v>
      </c>
      <c r="O238" s="297">
        <f>+Ingresos!N229</f>
        <v>181.49</v>
      </c>
      <c r="P238" s="298">
        <f>SUM(D238:O238)</f>
        <v>2177.88</v>
      </c>
    </row>
    <row r="239" spans="2:16" x14ac:dyDescent="0.2">
      <c r="B239" s="726" t="s">
        <v>309</v>
      </c>
      <c r="C239" s="300" t="s">
        <v>45</v>
      </c>
      <c r="D239" s="278">
        <f>Ingresos!C232*0.65</f>
        <v>955.66899999999998</v>
      </c>
      <c r="E239" s="301">
        <f>+D239</f>
        <v>955.66899999999998</v>
      </c>
      <c r="F239" s="301">
        <f t="shared" ref="F239" si="299">+E239</f>
        <v>955.66899999999998</v>
      </c>
      <c r="G239" s="301">
        <f t="shared" ref="G239" si="300">+F239</f>
        <v>955.66899999999998</v>
      </c>
      <c r="H239" s="301">
        <f t="shared" ref="H239" si="301">+G239</f>
        <v>955.66899999999998</v>
      </c>
      <c r="I239" s="301">
        <f t="shared" ref="I239" si="302">+H239</f>
        <v>955.66899999999998</v>
      </c>
      <c r="J239" s="301">
        <f t="shared" ref="J239" si="303">+I239</f>
        <v>955.66899999999998</v>
      </c>
      <c r="K239" s="301">
        <f t="shared" ref="K239" si="304">+J239</f>
        <v>955.66899999999998</v>
      </c>
      <c r="L239" s="301">
        <f t="shared" ref="L239" si="305">+K239</f>
        <v>955.66899999999998</v>
      </c>
      <c r="M239" s="301">
        <f t="shared" ref="M239" si="306">+L239</f>
        <v>955.66899999999998</v>
      </c>
      <c r="N239" s="301">
        <f t="shared" ref="N239" si="307">+M239</f>
        <v>955.66899999999998</v>
      </c>
      <c r="O239" s="301">
        <f t="shared" ref="O239" si="308">+N239</f>
        <v>955.66899999999998</v>
      </c>
      <c r="P239" s="302">
        <f>+O239</f>
        <v>955.66899999999998</v>
      </c>
    </row>
    <row r="240" spans="2:16" ht="15" x14ac:dyDescent="0.25">
      <c r="B240" s="727" t="s">
        <v>315</v>
      </c>
      <c r="C240" s="300" t="s">
        <v>45</v>
      </c>
      <c r="D240" s="304">
        <f>D238*D239</f>
        <v>173444.36681000001</v>
      </c>
      <c r="E240" s="304">
        <f t="shared" ref="E240:O240" si="309">E238*E239</f>
        <v>173444.36681000001</v>
      </c>
      <c r="F240" s="304">
        <f t="shared" si="309"/>
        <v>173444.36681000001</v>
      </c>
      <c r="G240" s="304">
        <f t="shared" si="309"/>
        <v>173444.36681000001</v>
      </c>
      <c r="H240" s="304">
        <f t="shared" si="309"/>
        <v>173444.36681000001</v>
      </c>
      <c r="I240" s="304">
        <f t="shared" si="309"/>
        <v>173444.36681000001</v>
      </c>
      <c r="J240" s="304">
        <f t="shared" si="309"/>
        <v>173444.36681000001</v>
      </c>
      <c r="K240" s="304">
        <f t="shared" si="309"/>
        <v>173444.36681000001</v>
      </c>
      <c r="L240" s="304">
        <f t="shared" si="309"/>
        <v>173444.36681000001</v>
      </c>
      <c r="M240" s="304">
        <f t="shared" si="309"/>
        <v>173444.36681000001</v>
      </c>
      <c r="N240" s="304">
        <f t="shared" si="309"/>
        <v>173444.36681000001</v>
      </c>
      <c r="O240" s="304">
        <f t="shared" si="309"/>
        <v>173444.36681000001</v>
      </c>
      <c r="P240" s="305">
        <f>SUM(D240:O240)</f>
        <v>2081332.4017200002</v>
      </c>
    </row>
    <row r="241" spans="2:16" x14ac:dyDescent="0.2">
      <c r="B241" s="726" t="s">
        <v>310</v>
      </c>
      <c r="C241" s="300" t="s">
        <v>45</v>
      </c>
      <c r="D241" s="278">
        <v>82.53</v>
      </c>
      <c r="E241" s="301">
        <f>+D241</f>
        <v>82.53</v>
      </c>
      <c r="F241" s="301">
        <f t="shared" ref="F241" si="310">+E241</f>
        <v>82.53</v>
      </c>
      <c r="G241" s="301">
        <f t="shared" ref="G241" si="311">+F241</f>
        <v>82.53</v>
      </c>
      <c r="H241" s="301">
        <f t="shared" ref="H241" si="312">+G241</f>
        <v>82.53</v>
      </c>
      <c r="I241" s="301">
        <f t="shared" ref="I241" si="313">+H241</f>
        <v>82.53</v>
      </c>
      <c r="J241" s="301">
        <f t="shared" ref="J241" si="314">+I241</f>
        <v>82.53</v>
      </c>
      <c r="K241" s="301">
        <f t="shared" ref="K241" si="315">+J241</f>
        <v>82.53</v>
      </c>
      <c r="L241" s="301">
        <f t="shared" ref="L241" si="316">+K241</f>
        <v>82.53</v>
      </c>
      <c r="M241" s="301">
        <f t="shared" ref="M241" si="317">+L241</f>
        <v>82.53</v>
      </c>
      <c r="N241" s="301">
        <f t="shared" ref="N241" si="318">+M241</f>
        <v>82.53</v>
      </c>
      <c r="O241" s="301">
        <f t="shared" ref="O241" si="319">+N241</f>
        <v>82.53</v>
      </c>
      <c r="P241" s="302">
        <f>+O241</f>
        <v>82.53</v>
      </c>
    </row>
    <row r="242" spans="2:16" ht="15" x14ac:dyDescent="0.25">
      <c r="B242" s="727" t="s">
        <v>315</v>
      </c>
      <c r="C242" s="300" t="s">
        <v>45</v>
      </c>
      <c r="D242" s="304">
        <f>D238*D241</f>
        <v>14978.369700000001</v>
      </c>
      <c r="E242" s="304">
        <f t="shared" ref="E242:O242" si="320">E238*E241</f>
        <v>14978.369700000001</v>
      </c>
      <c r="F242" s="304">
        <f t="shared" si="320"/>
        <v>14978.369700000001</v>
      </c>
      <c r="G242" s="304">
        <f t="shared" si="320"/>
        <v>14978.369700000001</v>
      </c>
      <c r="H242" s="304">
        <f t="shared" si="320"/>
        <v>14978.369700000001</v>
      </c>
      <c r="I242" s="304">
        <f t="shared" si="320"/>
        <v>14978.369700000001</v>
      </c>
      <c r="J242" s="304">
        <f t="shared" si="320"/>
        <v>14978.369700000001</v>
      </c>
      <c r="K242" s="304">
        <f t="shared" si="320"/>
        <v>14978.369700000001</v>
      </c>
      <c r="L242" s="304">
        <f t="shared" si="320"/>
        <v>14978.369700000001</v>
      </c>
      <c r="M242" s="304">
        <f t="shared" si="320"/>
        <v>14978.369700000001</v>
      </c>
      <c r="N242" s="304">
        <f t="shared" si="320"/>
        <v>14978.369700000001</v>
      </c>
      <c r="O242" s="304">
        <f t="shared" si="320"/>
        <v>14978.369700000001</v>
      </c>
      <c r="P242" s="305">
        <f>SUM(D242:O242)</f>
        <v>179740.43640000004</v>
      </c>
    </row>
    <row r="243" spans="2:16" x14ac:dyDescent="0.2">
      <c r="B243" s="726" t="s">
        <v>311</v>
      </c>
      <c r="C243" s="300" t="s">
        <v>45</v>
      </c>
      <c r="D243" s="278">
        <v>0</v>
      </c>
      <c r="E243" s="301">
        <f>+D243</f>
        <v>0</v>
      </c>
      <c r="F243" s="301">
        <f t="shared" ref="F243" si="321">+E243</f>
        <v>0</v>
      </c>
      <c r="G243" s="301">
        <f t="shared" ref="G243" si="322">+F243</f>
        <v>0</v>
      </c>
      <c r="H243" s="301">
        <f t="shared" ref="H243" si="323">+G243</f>
        <v>0</v>
      </c>
      <c r="I243" s="301">
        <f t="shared" ref="I243" si="324">+H243</f>
        <v>0</v>
      </c>
      <c r="J243" s="301">
        <f t="shared" ref="J243" si="325">+I243</f>
        <v>0</v>
      </c>
      <c r="K243" s="301">
        <f t="shared" ref="K243" si="326">+J243</f>
        <v>0</v>
      </c>
      <c r="L243" s="301">
        <f t="shared" ref="L243" si="327">+K243</f>
        <v>0</v>
      </c>
      <c r="M243" s="301">
        <f t="shared" ref="M243" si="328">+L243</f>
        <v>0</v>
      </c>
      <c r="N243" s="301">
        <f t="shared" ref="N243" si="329">+M243</f>
        <v>0</v>
      </c>
      <c r="O243" s="301">
        <f t="shared" ref="O243" si="330">+N243</f>
        <v>0</v>
      </c>
      <c r="P243" s="302">
        <f>+O243</f>
        <v>0</v>
      </c>
    </row>
    <row r="244" spans="2:16" ht="15" x14ac:dyDescent="0.25">
      <c r="B244" s="727" t="s">
        <v>315</v>
      </c>
      <c r="C244" s="300" t="s">
        <v>45</v>
      </c>
      <c r="D244" s="304">
        <f>D238*(D243)</f>
        <v>0</v>
      </c>
      <c r="E244" s="304">
        <f t="shared" ref="E244:O244" si="331">E238*(E243)</f>
        <v>0</v>
      </c>
      <c r="F244" s="304">
        <f t="shared" si="331"/>
        <v>0</v>
      </c>
      <c r="G244" s="304">
        <f t="shared" si="331"/>
        <v>0</v>
      </c>
      <c r="H244" s="304">
        <f t="shared" si="331"/>
        <v>0</v>
      </c>
      <c r="I244" s="304">
        <f t="shared" si="331"/>
        <v>0</v>
      </c>
      <c r="J244" s="304">
        <f t="shared" si="331"/>
        <v>0</v>
      </c>
      <c r="K244" s="304">
        <f t="shared" si="331"/>
        <v>0</v>
      </c>
      <c r="L244" s="304">
        <f t="shared" si="331"/>
        <v>0</v>
      </c>
      <c r="M244" s="304">
        <f t="shared" si="331"/>
        <v>0</v>
      </c>
      <c r="N244" s="304">
        <f t="shared" si="331"/>
        <v>0</v>
      </c>
      <c r="O244" s="304">
        <f t="shared" si="331"/>
        <v>0</v>
      </c>
      <c r="P244" s="305">
        <f>SUM(D244:O244)</f>
        <v>0</v>
      </c>
    </row>
    <row r="245" spans="2:16" ht="15" x14ac:dyDescent="0.25">
      <c r="B245" s="293" t="str">
        <f>+Ingresos!B236</f>
        <v>Coco San Blas</v>
      </c>
      <c r="C245" s="294"/>
      <c r="D245" s="295"/>
      <c r="E245" s="295"/>
      <c r="F245" s="295"/>
      <c r="G245" s="295"/>
      <c r="H245" s="295"/>
      <c r="I245" s="295"/>
      <c r="J245" s="295"/>
      <c r="K245" s="295"/>
      <c r="L245" s="295"/>
      <c r="M245" s="295"/>
      <c r="N245" s="295"/>
      <c r="O245" s="295"/>
      <c r="P245" s="295"/>
    </row>
    <row r="246" spans="2:16" x14ac:dyDescent="0.2">
      <c r="B246" s="726" t="s">
        <v>159</v>
      </c>
      <c r="C246" s="296" t="s">
        <v>372</v>
      </c>
      <c r="D246" s="297">
        <f>+Ingresos!C237</f>
        <v>47.91</v>
      </c>
      <c r="E246" s="297">
        <f>+Ingresos!D237</f>
        <v>47.91</v>
      </c>
      <c r="F246" s="297">
        <f>+Ingresos!E237</f>
        <v>47.91</v>
      </c>
      <c r="G246" s="297">
        <f>+Ingresos!F237</f>
        <v>47.91</v>
      </c>
      <c r="H246" s="297">
        <f>+Ingresos!G237</f>
        <v>47.91</v>
      </c>
      <c r="I246" s="297">
        <f>+Ingresos!H237</f>
        <v>47.91</v>
      </c>
      <c r="J246" s="297">
        <f>+Ingresos!I237</f>
        <v>47.91</v>
      </c>
      <c r="K246" s="297">
        <f>+Ingresos!J237</f>
        <v>47.91</v>
      </c>
      <c r="L246" s="297">
        <f>+Ingresos!K237</f>
        <v>47.91</v>
      </c>
      <c r="M246" s="297">
        <f>+Ingresos!L237</f>
        <v>47.91</v>
      </c>
      <c r="N246" s="297">
        <f>+Ingresos!M237</f>
        <v>47.91</v>
      </c>
      <c r="O246" s="297">
        <f>+Ingresos!N237</f>
        <v>47.91</v>
      </c>
      <c r="P246" s="298">
        <f>SUM(D246:O246)</f>
        <v>574.91999999999985</v>
      </c>
    </row>
    <row r="247" spans="2:16" x14ac:dyDescent="0.2">
      <c r="B247" s="726" t="s">
        <v>309</v>
      </c>
      <c r="C247" s="300" t="s">
        <v>45</v>
      </c>
      <c r="D247" s="278">
        <f>Ingresos!C240*0.65</f>
        <v>3379.181</v>
      </c>
      <c r="E247" s="301">
        <f>+D247</f>
        <v>3379.181</v>
      </c>
      <c r="F247" s="301">
        <f t="shared" ref="F247" si="332">+E247</f>
        <v>3379.181</v>
      </c>
      <c r="G247" s="301">
        <f t="shared" ref="G247" si="333">+F247</f>
        <v>3379.181</v>
      </c>
      <c r="H247" s="301">
        <f t="shared" ref="H247" si="334">+G247</f>
        <v>3379.181</v>
      </c>
      <c r="I247" s="301">
        <f t="shared" ref="I247" si="335">+H247</f>
        <v>3379.181</v>
      </c>
      <c r="J247" s="301">
        <f t="shared" ref="J247" si="336">+I247</f>
        <v>3379.181</v>
      </c>
      <c r="K247" s="301">
        <f t="shared" ref="K247" si="337">+J247</f>
        <v>3379.181</v>
      </c>
      <c r="L247" s="301">
        <f t="shared" ref="L247" si="338">+K247</f>
        <v>3379.181</v>
      </c>
      <c r="M247" s="301">
        <f t="shared" ref="M247" si="339">+L247</f>
        <v>3379.181</v>
      </c>
      <c r="N247" s="301">
        <f t="shared" ref="N247" si="340">+M247</f>
        <v>3379.181</v>
      </c>
      <c r="O247" s="301">
        <f t="shared" ref="O247" si="341">+N247</f>
        <v>3379.181</v>
      </c>
      <c r="P247" s="302">
        <f>+O247</f>
        <v>3379.181</v>
      </c>
    </row>
    <row r="248" spans="2:16" ht="15" x14ac:dyDescent="0.25">
      <c r="B248" s="727" t="s">
        <v>315</v>
      </c>
      <c r="C248" s="300" t="s">
        <v>45</v>
      </c>
      <c r="D248" s="304">
        <f>D246*D247</f>
        <v>161896.56170999998</v>
      </c>
      <c r="E248" s="304">
        <f t="shared" ref="E248:O248" si="342">E246*E247</f>
        <v>161896.56170999998</v>
      </c>
      <c r="F248" s="304">
        <f t="shared" si="342"/>
        <v>161896.56170999998</v>
      </c>
      <c r="G248" s="304">
        <f t="shared" si="342"/>
        <v>161896.56170999998</v>
      </c>
      <c r="H248" s="304">
        <f t="shared" si="342"/>
        <v>161896.56170999998</v>
      </c>
      <c r="I248" s="304">
        <f t="shared" si="342"/>
        <v>161896.56170999998</v>
      </c>
      <c r="J248" s="304">
        <f t="shared" si="342"/>
        <v>161896.56170999998</v>
      </c>
      <c r="K248" s="304">
        <f t="shared" si="342"/>
        <v>161896.56170999998</v>
      </c>
      <c r="L248" s="304">
        <f t="shared" si="342"/>
        <v>161896.56170999998</v>
      </c>
      <c r="M248" s="304">
        <f t="shared" si="342"/>
        <v>161896.56170999998</v>
      </c>
      <c r="N248" s="304">
        <f t="shared" si="342"/>
        <v>161896.56170999998</v>
      </c>
      <c r="O248" s="304">
        <f t="shared" si="342"/>
        <v>161896.56170999998</v>
      </c>
      <c r="P248" s="305">
        <f>SUM(D248:O248)</f>
        <v>1942758.7405200002</v>
      </c>
    </row>
    <row r="249" spans="2:16" x14ac:dyDescent="0.2">
      <c r="B249" s="726" t="s">
        <v>310</v>
      </c>
      <c r="C249" s="300" t="s">
        <v>45</v>
      </c>
      <c r="D249" s="278">
        <v>496.66</v>
      </c>
      <c r="E249" s="301">
        <f>+D249</f>
        <v>496.66</v>
      </c>
      <c r="F249" s="301">
        <f t="shared" ref="F249" si="343">+E249</f>
        <v>496.66</v>
      </c>
      <c r="G249" s="301">
        <f t="shared" ref="G249" si="344">+F249</f>
        <v>496.66</v>
      </c>
      <c r="H249" s="301">
        <f t="shared" ref="H249" si="345">+G249</f>
        <v>496.66</v>
      </c>
      <c r="I249" s="301">
        <f t="shared" ref="I249" si="346">+H249</f>
        <v>496.66</v>
      </c>
      <c r="J249" s="301">
        <f t="shared" ref="J249" si="347">+I249</f>
        <v>496.66</v>
      </c>
      <c r="K249" s="301">
        <f t="shared" ref="K249" si="348">+J249</f>
        <v>496.66</v>
      </c>
      <c r="L249" s="301">
        <f t="shared" ref="L249" si="349">+K249</f>
        <v>496.66</v>
      </c>
      <c r="M249" s="301">
        <f t="shared" ref="M249" si="350">+L249</f>
        <v>496.66</v>
      </c>
      <c r="N249" s="301">
        <f t="shared" ref="N249" si="351">+M249</f>
        <v>496.66</v>
      </c>
      <c r="O249" s="301">
        <f t="shared" ref="O249" si="352">+N249</f>
        <v>496.66</v>
      </c>
      <c r="P249" s="302">
        <f>+O249</f>
        <v>496.66</v>
      </c>
    </row>
    <row r="250" spans="2:16" ht="15" x14ac:dyDescent="0.25">
      <c r="B250" s="727" t="s">
        <v>315</v>
      </c>
      <c r="C250" s="300" t="s">
        <v>45</v>
      </c>
      <c r="D250" s="304">
        <f>D246*D249</f>
        <v>23794.980599999999</v>
      </c>
      <c r="E250" s="304">
        <f t="shared" ref="E250:O250" si="353">E246*E249</f>
        <v>23794.980599999999</v>
      </c>
      <c r="F250" s="304">
        <f t="shared" si="353"/>
        <v>23794.980599999999</v>
      </c>
      <c r="G250" s="304">
        <f t="shared" si="353"/>
        <v>23794.980599999999</v>
      </c>
      <c r="H250" s="304">
        <f t="shared" si="353"/>
        <v>23794.980599999999</v>
      </c>
      <c r="I250" s="304">
        <f t="shared" si="353"/>
        <v>23794.980599999999</v>
      </c>
      <c r="J250" s="304">
        <f t="shared" si="353"/>
        <v>23794.980599999999</v>
      </c>
      <c r="K250" s="304">
        <f t="shared" si="353"/>
        <v>23794.980599999999</v>
      </c>
      <c r="L250" s="304">
        <f t="shared" si="353"/>
        <v>23794.980599999999</v>
      </c>
      <c r="M250" s="304">
        <f t="shared" si="353"/>
        <v>23794.980599999999</v>
      </c>
      <c r="N250" s="304">
        <f t="shared" si="353"/>
        <v>23794.980599999999</v>
      </c>
      <c r="O250" s="304">
        <f t="shared" si="353"/>
        <v>23794.980599999999</v>
      </c>
      <c r="P250" s="305">
        <f>SUM(D250:O250)</f>
        <v>285539.76720000006</v>
      </c>
    </row>
    <row r="251" spans="2:16" x14ac:dyDescent="0.2">
      <c r="B251" s="726" t="s">
        <v>311</v>
      </c>
      <c r="C251" s="300" t="s">
        <v>45</v>
      </c>
      <c r="D251" s="278">
        <v>0</v>
      </c>
      <c r="E251" s="301">
        <f>+D251</f>
        <v>0</v>
      </c>
      <c r="F251" s="301">
        <f t="shared" ref="F251" si="354">+E251</f>
        <v>0</v>
      </c>
      <c r="G251" s="301">
        <f t="shared" ref="G251" si="355">+F251</f>
        <v>0</v>
      </c>
      <c r="H251" s="301">
        <f t="shared" ref="H251" si="356">+G251</f>
        <v>0</v>
      </c>
      <c r="I251" s="301">
        <f t="shared" ref="I251" si="357">+H251</f>
        <v>0</v>
      </c>
      <c r="J251" s="301">
        <f t="shared" ref="J251" si="358">+I251</f>
        <v>0</v>
      </c>
      <c r="K251" s="301">
        <f t="shared" ref="K251" si="359">+J251</f>
        <v>0</v>
      </c>
      <c r="L251" s="301">
        <f t="shared" ref="L251" si="360">+K251</f>
        <v>0</v>
      </c>
      <c r="M251" s="301">
        <f t="shared" ref="M251" si="361">+L251</f>
        <v>0</v>
      </c>
      <c r="N251" s="301">
        <f t="shared" ref="N251" si="362">+M251</f>
        <v>0</v>
      </c>
      <c r="O251" s="301">
        <f t="shared" ref="O251" si="363">+N251</f>
        <v>0</v>
      </c>
      <c r="P251" s="302">
        <f>+O251</f>
        <v>0</v>
      </c>
    </row>
    <row r="252" spans="2:16" ht="15" x14ac:dyDescent="0.25">
      <c r="B252" s="727" t="s">
        <v>315</v>
      </c>
      <c r="C252" s="300" t="s">
        <v>45</v>
      </c>
      <c r="D252" s="304">
        <f>D246*(D251)</f>
        <v>0</v>
      </c>
      <c r="E252" s="304">
        <f t="shared" ref="E252:O252" si="364">E246*(E251)</f>
        <v>0</v>
      </c>
      <c r="F252" s="304">
        <f t="shared" si="364"/>
        <v>0</v>
      </c>
      <c r="G252" s="304">
        <f t="shared" si="364"/>
        <v>0</v>
      </c>
      <c r="H252" s="304">
        <f t="shared" si="364"/>
        <v>0</v>
      </c>
      <c r="I252" s="304">
        <f t="shared" si="364"/>
        <v>0</v>
      </c>
      <c r="J252" s="304">
        <f t="shared" si="364"/>
        <v>0</v>
      </c>
      <c r="K252" s="304">
        <f t="shared" si="364"/>
        <v>0</v>
      </c>
      <c r="L252" s="304">
        <f t="shared" si="364"/>
        <v>0</v>
      </c>
      <c r="M252" s="304">
        <f t="shared" si="364"/>
        <v>0</v>
      </c>
      <c r="N252" s="304">
        <f t="shared" si="364"/>
        <v>0</v>
      </c>
      <c r="O252" s="304">
        <f t="shared" si="364"/>
        <v>0</v>
      </c>
      <c r="P252" s="305">
        <f>SUM(D252:O252)</f>
        <v>0</v>
      </c>
    </row>
    <row r="253" spans="2:16" ht="15" x14ac:dyDescent="0.25">
      <c r="B253" s="293" t="str">
        <f>+Ingresos!B244</f>
        <v>Fresa</v>
      </c>
      <c r="C253" s="294"/>
      <c r="D253" s="295"/>
      <c r="E253" s="295"/>
      <c r="F253" s="295"/>
      <c r="G253" s="295"/>
      <c r="H253" s="295"/>
      <c r="I253" s="295"/>
      <c r="J253" s="295"/>
      <c r="K253" s="295"/>
      <c r="L253" s="295"/>
      <c r="M253" s="295"/>
      <c r="N253" s="295"/>
      <c r="O253" s="295"/>
      <c r="P253" s="295"/>
    </row>
    <row r="254" spans="2:16" x14ac:dyDescent="0.2">
      <c r="B254" s="726" t="s">
        <v>159</v>
      </c>
      <c r="C254" s="296" t="s">
        <v>372</v>
      </c>
      <c r="D254" s="297">
        <f>+Ingresos!C245</f>
        <v>352.33</v>
      </c>
      <c r="E254" s="297">
        <f>+Ingresos!D245</f>
        <v>352.33</v>
      </c>
      <c r="F254" s="297">
        <f>+Ingresos!E245</f>
        <v>352.33</v>
      </c>
      <c r="G254" s="297">
        <f>+Ingresos!F245</f>
        <v>352.33</v>
      </c>
      <c r="H254" s="297">
        <f>+Ingresos!G245</f>
        <v>352.33</v>
      </c>
      <c r="I254" s="297">
        <f>+Ingresos!H245</f>
        <v>352.33</v>
      </c>
      <c r="J254" s="297">
        <f>+Ingresos!I245</f>
        <v>352.33</v>
      </c>
      <c r="K254" s="297">
        <f>+Ingresos!J245</f>
        <v>352.33</v>
      </c>
      <c r="L254" s="297">
        <f>+Ingresos!K245</f>
        <v>352.33</v>
      </c>
      <c r="M254" s="297">
        <f>+Ingresos!L245</f>
        <v>352.33</v>
      </c>
      <c r="N254" s="297">
        <f>+Ingresos!M245</f>
        <v>352.33</v>
      </c>
      <c r="O254" s="297">
        <f>+Ingresos!N245</f>
        <v>352.33</v>
      </c>
      <c r="P254" s="298">
        <f>SUM(D254:O254)</f>
        <v>4227.96</v>
      </c>
    </row>
    <row r="255" spans="2:16" x14ac:dyDescent="0.2">
      <c r="B255" s="726" t="s">
        <v>309</v>
      </c>
      <c r="C255" s="300" t="s">
        <v>45</v>
      </c>
      <c r="D255" s="278">
        <f>Ingresos!C248*0.65</f>
        <v>5023.759</v>
      </c>
      <c r="E255" s="301">
        <f>+D255</f>
        <v>5023.759</v>
      </c>
      <c r="F255" s="301">
        <f t="shared" ref="F255" si="365">+E255</f>
        <v>5023.759</v>
      </c>
      <c r="G255" s="301">
        <f t="shared" ref="G255" si="366">+F255</f>
        <v>5023.759</v>
      </c>
      <c r="H255" s="301">
        <f t="shared" ref="H255" si="367">+G255</f>
        <v>5023.759</v>
      </c>
      <c r="I255" s="301">
        <f t="shared" ref="I255" si="368">+H255</f>
        <v>5023.759</v>
      </c>
      <c r="J255" s="301">
        <f t="shared" ref="J255" si="369">+I255</f>
        <v>5023.759</v>
      </c>
      <c r="K255" s="301">
        <f t="shared" ref="K255" si="370">+J255</f>
        <v>5023.759</v>
      </c>
      <c r="L255" s="301">
        <f t="shared" ref="L255" si="371">+K255</f>
        <v>5023.759</v>
      </c>
      <c r="M255" s="301">
        <f t="shared" ref="M255" si="372">+L255</f>
        <v>5023.759</v>
      </c>
      <c r="N255" s="301">
        <f t="shared" ref="N255" si="373">+M255</f>
        <v>5023.759</v>
      </c>
      <c r="O255" s="301">
        <f t="shared" ref="O255" si="374">+N255</f>
        <v>5023.759</v>
      </c>
      <c r="P255" s="302">
        <f>+O255</f>
        <v>5023.759</v>
      </c>
    </row>
    <row r="256" spans="2:16" ht="15" x14ac:dyDescent="0.25">
      <c r="B256" s="727" t="s">
        <v>315</v>
      </c>
      <c r="C256" s="300" t="s">
        <v>45</v>
      </c>
      <c r="D256" s="304">
        <f>D254*D255</f>
        <v>1770021.00847</v>
      </c>
      <c r="E256" s="304">
        <f t="shared" ref="E256:O256" si="375">E254*E255</f>
        <v>1770021.00847</v>
      </c>
      <c r="F256" s="304">
        <f t="shared" si="375"/>
        <v>1770021.00847</v>
      </c>
      <c r="G256" s="304">
        <f t="shared" si="375"/>
        <v>1770021.00847</v>
      </c>
      <c r="H256" s="304">
        <f t="shared" si="375"/>
        <v>1770021.00847</v>
      </c>
      <c r="I256" s="304">
        <f t="shared" si="375"/>
        <v>1770021.00847</v>
      </c>
      <c r="J256" s="304">
        <f t="shared" si="375"/>
        <v>1770021.00847</v>
      </c>
      <c r="K256" s="304">
        <f t="shared" si="375"/>
        <v>1770021.00847</v>
      </c>
      <c r="L256" s="304">
        <f t="shared" si="375"/>
        <v>1770021.00847</v>
      </c>
      <c r="M256" s="304">
        <f t="shared" si="375"/>
        <v>1770021.00847</v>
      </c>
      <c r="N256" s="304">
        <f t="shared" si="375"/>
        <v>1770021.00847</v>
      </c>
      <c r="O256" s="304">
        <f t="shared" si="375"/>
        <v>1770021.00847</v>
      </c>
      <c r="P256" s="305">
        <f>SUM(D256:O256)</f>
        <v>21240252.101640001</v>
      </c>
    </row>
    <row r="257" spans="2:16" x14ac:dyDescent="0.2">
      <c r="B257" s="726" t="s">
        <v>310</v>
      </c>
      <c r="C257" s="300" t="s">
        <v>45</v>
      </c>
      <c r="D257" s="278">
        <v>753.33</v>
      </c>
      <c r="E257" s="301">
        <f>+D257</f>
        <v>753.33</v>
      </c>
      <c r="F257" s="301">
        <f t="shared" ref="F257" si="376">+E257</f>
        <v>753.33</v>
      </c>
      <c r="G257" s="301">
        <f t="shared" ref="G257" si="377">+F257</f>
        <v>753.33</v>
      </c>
      <c r="H257" s="301">
        <f t="shared" ref="H257" si="378">+G257</f>
        <v>753.33</v>
      </c>
      <c r="I257" s="301">
        <f t="shared" ref="I257" si="379">+H257</f>
        <v>753.33</v>
      </c>
      <c r="J257" s="301">
        <f t="shared" ref="J257" si="380">+I257</f>
        <v>753.33</v>
      </c>
      <c r="K257" s="301">
        <f t="shared" ref="K257" si="381">+J257</f>
        <v>753.33</v>
      </c>
      <c r="L257" s="301">
        <f t="shared" ref="L257" si="382">+K257</f>
        <v>753.33</v>
      </c>
      <c r="M257" s="301">
        <f t="shared" ref="M257" si="383">+L257</f>
        <v>753.33</v>
      </c>
      <c r="N257" s="301">
        <f t="shared" ref="N257" si="384">+M257</f>
        <v>753.33</v>
      </c>
      <c r="O257" s="301">
        <f t="shared" ref="O257" si="385">+N257</f>
        <v>753.33</v>
      </c>
      <c r="P257" s="302">
        <f>+O257</f>
        <v>753.33</v>
      </c>
    </row>
    <row r="258" spans="2:16" ht="15" x14ac:dyDescent="0.25">
      <c r="B258" s="727" t="s">
        <v>315</v>
      </c>
      <c r="C258" s="300" t="s">
        <v>45</v>
      </c>
      <c r="D258" s="304">
        <f>D254*D257</f>
        <v>265420.75890000002</v>
      </c>
      <c r="E258" s="304">
        <f t="shared" ref="E258:O258" si="386">E254*E257</f>
        <v>265420.75890000002</v>
      </c>
      <c r="F258" s="304">
        <f t="shared" si="386"/>
        <v>265420.75890000002</v>
      </c>
      <c r="G258" s="304">
        <f t="shared" si="386"/>
        <v>265420.75890000002</v>
      </c>
      <c r="H258" s="304">
        <f t="shared" si="386"/>
        <v>265420.75890000002</v>
      </c>
      <c r="I258" s="304">
        <f t="shared" si="386"/>
        <v>265420.75890000002</v>
      </c>
      <c r="J258" s="304">
        <f t="shared" si="386"/>
        <v>265420.75890000002</v>
      </c>
      <c r="K258" s="304">
        <f t="shared" si="386"/>
        <v>265420.75890000002</v>
      </c>
      <c r="L258" s="304">
        <f t="shared" si="386"/>
        <v>265420.75890000002</v>
      </c>
      <c r="M258" s="304">
        <f t="shared" si="386"/>
        <v>265420.75890000002</v>
      </c>
      <c r="N258" s="304">
        <f t="shared" si="386"/>
        <v>265420.75890000002</v>
      </c>
      <c r="O258" s="304">
        <f t="shared" si="386"/>
        <v>265420.75890000002</v>
      </c>
      <c r="P258" s="305">
        <f>SUM(D258:O258)</f>
        <v>3185049.1067999993</v>
      </c>
    </row>
    <row r="259" spans="2:16" x14ac:dyDescent="0.2">
      <c r="B259" s="726" t="s">
        <v>311</v>
      </c>
      <c r="C259" s="300" t="s">
        <v>45</v>
      </c>
      <c r="D259" s="278">
        <v>0</v>
      </c>
      <c r="E259" s="301">
        <f>+D259</f>
        <v>0</v>
      </c>
      <c r="F259" s="301">
        <f t="shared" ref="F259" si="387">+E259</f>
        <v>0</v>
      </c>
      <c r="G259" s="301">
        <f t="shared" ref="G259" si="388">+F259</f>
        <v>0</v>
      </c>
      <c r="H259" s="301">
        <f t="shared" ref="H259" si="389">+G259</f>
        <v>0</v>
      </c>
      <c r="I259" s="301">
        <f t="shared" ref="I259" si="390">+H259</f>
        <v>0</v>
      </c>
      <c r="J259" s="301">
        <f t="shared" ref="J259" si="391">+I259</f>
        <v>0</v>
      </c>
      <c r="K259" s="301">
        <f t="shared" ref="K259" si="392">+J259</f>
        <v>0</v>
      </c>
      <c r="L259" s="301">
        <f t="shared" ref="L259" si="393">+K259</f>
        <v>0</v>
      </c>
      <c r="M259" s="301">
        <f t="shared" ref="M259" si="394">+L259</f>
        <v>0</v>
      </c>
      <c r="N259" s="301">
        <f t="shared" ref="N259" si="395">+M259</f>
        <v>0</v>
      </c>
      <c r="O259" s="301">
        <f t="shared" ref="O259" si="396">+N259</f>
        <v>0</v>
      </c>
      <c r="P259" s="302">
        <f>+O259</f>
        <v>0</v>
      </c>
    </row>
    <row r="260" spans="2:16" ht="15" x14ac:dyDescent="0.25">
      <c r="B260" s="727" t="s">
        <v>315</v>
      </c>
      <c r="C260" s="300" t="s">
        <v>45</v>
      </c>
      <c r="D260" s="304">
        <f>D254*(D259)</f>
        <v>0</v>
      </c>
      <c r="E260" s="304">
        <f t="shared" ref="E260:O260" si="397">E254*(E259)</f>
        <v>0</v>
      </c>
      <c r="F260" s="304">
        <f t="shared" si="397"/>
        <v>0</v>
      </c>
      <c r="G260" s="304">
        <f t="shared" si="397"/>
        <v>0</v>
      </c>
      <c r="H260" s="304">
        <f t="shared" si="397"/>
        <v>0</v>
      </c>
      <c r="I260" s="304">
        <f t="shared" si="397"/>
        <v>0</v>
      </c>
      <c r="J260" s="304">
        <f t="shared" si="397"/>
        <v>0</v>
      </c>
      <c r="K260" s="304">
        <f t="shared" si="397"/>
        <v>0</v>
      </c>
      <c r="L260" s="304">
        <f t="shared" si="397"/>
        <v>0</v>
      </c>
      <c r="M260" s="304">
        <f t="shared" si="397"/>
        <v>0</v>
      </c>
      <c r="N260" s="304">
        <f t="shared" si="397"/>
        <v>0</v>
      </c>
      <c r="O260" s="304">
        <f t="shared" si="397"/>
        <v>0</v>
      </c>
      <c r="P260" s="305">
        <f>SUM(D260:O260)</f>
        <v>0</v>
      </c>
    </row>
    <row r="261" spans="2:16" ht="15" x14ac:dyDescent="0.25">
      <c r="B261" s="293" t="str">
        <f>+Ingresos!B252</f>
        <v>Granadilla</v>
      </c>
      <c r="C261" s="294"/>
      <c r="D261" s="295"/>
      <c r="E261" s="295"/>
      <c r="F261" s="295"/>
      <c r="G261" s="295"/>
      <c r="H261" s="295"/>
      <c r="I261" s="295"/>
      <c r="J261" s="295"/>
      <c r="K261" s="295"/>
      <c r="L261" s="295"/>
      <c r="M261" s="295"/>
      <c r="N261" s="295"/>
      <c r="O261" s="295"/>
      <c r="P261" s="295"/>
    </row>
    <row r="262" spans="2:16" x14ac:dyDescent="0.2">
      <c r="B262" s="726" t="s">
        <v>159</v>
      </c>
      <c r="C262" s="296" t="s">
        <v>372</v>
      </c>
      <c r="D262" s="297">
        <f>+Ingresos!C253</f>
        <v>77.430000000000007</v>
      </c>
      <c r="E262" s="297">
        <f>+Ingresos!D253</f>
        <v>77.430000000000007</v>
      </c>
      <c r="F262" s="297">
        <f>+Ingresos!E253</f>
        <v>77.430000000000007</v>
      </c>
      <c r="G262" s="297">
        <f>+Ingresos!F253</f>
        <v>77.430000000000007</v>
      </c>
      <c r="H262" s="297">
        <f>+Ingresos!G253</f>
        <v>77.430000000000007</v>
      </c>
      <c r="I262" s="297">
        <f>+Ingresos!H253</f>
        <v>77.430000000000007</v>
      </c>
      <c r="J262" s="297">
        <f>+Ingresos!I253</f>
        <v>77.430000000000007</v>
      </c>
      <c r="K262" s="297">
        <f>+Ingresos!J253</f>
        <v>77.430000000000007</v>
      </c>
      <c r="L262" s="297">
        <f>+Ingresos!K253</f>
        <v>77.430000000000007</v>
      </c>
      <c r="M262" s="297">
        <f>+Ingresos!L253</f>
        <v>77.430000000000007</v>
      </c>
      <c r="N262" s="297">
        <f>+Ingresos!M253</f>
        <v>77.430000000000007</v>
      </c>
      <c r="O262" s="297">
        <f>+Ingresos!N253</f>
        <v>77.430000000000007</v>
      </c>
      <c r="P262" s="298">
        <f>SUM(D262:O262)</f>
        <v>929.16000000000031</v>
      </c>
    </row>
    <row r="263" spans="2:16" x14ac:dyDescent="0.2">
      <c r="B263" s="726" t="s">
        <v>309</v>
      </c>
      <c r="C263" s="300" t="s">
        <v>45</v>
      </c>
      <c r="D263" s="278">
        <f>Ingresos!C256*0.65</f>
        <v>6780.3710000000001</v>
      </c>
      <c r="E263" s="301">
        <f>+D263</f>
        <v>6780.3710000000001</v>
      </c>
      <c r="F263" s="301">
        <f t="shared" ref="F263" si="398">+E263</f>
        <v>6780.3710000000001</v>
      </c>
      <c r="G263" s="301">
        <f t="shared" ref="G263" si="399">+F263</f>
        <v>6780.3710000000001</v>
      </c>
      <c r="H263" s="301">
        <f t="shared" ref="H263" si="400">+G263</f>
        <v>6780.3710000000001</v>
      </c>
      <c r="I263" s="301">
        <f t="shared" ref="I263" si="401">+H263</f>
        <v>6780.3710000000001</v>
      </c>
      <c r="J263" s="301">
        <f t="shared" ref="J263" si="402">+I263</f>
        <v>6780.3710000000001</v>
      </c>
      <c r="K263" s="301">
        <f t="shared" ref="K263" si="403">+J263</f>
        <v>6780.3710000000001</v>
      </c>
      <c r="L263" s="301">
        <f t="shared" ref="L263" si="404">+K263</f>
        <v>6780.3710000000001</v>
      </c>
      <c r="M263" s="301">
        <f t="shared" ref="M263" si="405">+L263</f>
        <v>6780.3710000000001</v>
      </c>
      <c r="N263" s="301">
        <f t="shared" ref="N263" si="406">+M263</f>
        <v>6780.3710000000001</v>
      </c>
      <c r="O263" s="301">
        <f t="shared" ref="O263" si="407">+N263</f>
        <v>6780.3710000000001</v>
      </c>
      <c r="P263" s="302">
        <f>+O263</f>
        <v>6780.3710000000001</v>
      </c>
    </row>
    <row r="264" spans="2:16" ht="15" x14ac:dyDescent="0.25">
      <c r="B264" s="727" t="s">
        <v>315</v>
      </c>
      <c r="C264" s="300" t="s">
        <v>45</v>
      </c>
      <c r="D264" s="304">
        <f>D262*D263</f>
        <v>525004.12653000001</v>
      </c>
      <c r="E264" s="304">
        <f t="shared" ref="E264:O264" si="408">E262*E263</f>
        <v>525004.12653000001</v>
      </c>
      <c r="F264" s="304">
        <f t="shared" si="408"/>
        <v>525004.12653000001</v>
      </c>
      <c r="G264" s="304">
        <f t="shared" si="408"/>
        <v>525004.12653000001</v>
      </c>
      <c r="H264" s="304">
        <f t="shared" si="408"/>
        <v>525004.12653000001</v>
      </c>
      <c r="I264" s="304">
        <f t="shared" si="408"/>
        <v>525004.12653000001</v>
      </c>
      <c r="J264" s="304">
        <f t="shared" si="408"/>
        <v>525004.12653000001</v>
      </c>
      <c r="K264" s="304">
        <f t="shared" si="408"/>
        <v>525004.12653000001</v>
      </c>
      <c r="L264" s="304">
        <f t="shared" si="408"/>
        <v>525004.12653000001</v>
      </c>
      <c r="M264" s="304">
        <f t="shared" si="408"/>
        <v>525004.12653000001</v>
      </c>
      <c r="N264" s="304">
        <f t="shared" si="408"/>
        <v>525004.12653000001</v>
      </c>
      <c r="O264" s="304">
        <f t="shared" si="408"/>
        <v>525004.12653000001</v>
      </c>
      <c r="P264" s="305">
        <f>SUM(D264:O264)</f>
        <v>6300049.5183600001</v>
      </c>
    </row>
    <row r="265" spans="2:16" x14ac:dyDescent="0.2">
      <c r="B265" s="726" t="s">
        <v>310</v>
      </c>
      <c r="C265" s="300" t="s">
        <v>45</v>
      </c>
      <c r="D265" s="278">
        <v>1078</v>
      </c>
      <c r="E265" s="301">
        <f>+D265</f>
        <v>1078</v>
      </c>
      <c r="F265" s="301">
        <f t="shared" ref="F265" si="409">+E265</f>
        <v>1078</v>
      </c>
      <c r="G265" s="301">
        <f t="shared" ref="G265" si="410">+F265</f>
        <v>1078</v>
      </c>
      <c r="H265" s="301">
        <f t="shared" ref="H265" si="411">+G265</f>
        <v>1078</v>
      </c>
      <c r="I265" s="301">
        <f t="shared" ref="I265" si="412">+H265</f>
        <v>1078</v>
      </c>
      <c r="J265" s="301">
        <f t="shared" ref="J265" si="413">+I265</f>
        <v>1078</v>
      </c>
      <c r="K265" s="301">
        <f t="shared" ref="K265" si="414">+J265</f>
        <v>1078</v>
      </c>
      <c r="L265" s="301">
        <f t="shared" ref="L265" si="415">+K265</f>
        <v>1078</v>
      </c>
      <c r="M265" s="301">
        <f t="shared" ref="M265" si="416">+L265</f>
        <v>1078</v>
      </c>
      <c r="N265" s="301">
        <f t="shared" ref="N265" si="417">+M265</f>
        <v>1078</v>
      </c>
      <c r="O265" s="301">
        <f t="shared" ref="O265" si="418">+N265</f>
        <v>1078</v>
      </c>
      <c r="P265" s="302">
        <f>+O265</f>
        <v>1078</v>
      </c>
    </row>
    <row r="266" spans="2:16" ht="15" x14ac:dyDescent="0.25">
      <c r="B266" s="727" t="s">
        <v>315</v>
      </c>
      <c r="C266" s="300" t="s">
        <v>45</v>
      </c>
      <c r="D266" s="304">
        <f>D262*D265</f>
        <v>83469.540000000008</v>
      </c>
      <c r="E266" s="304">
        <f t="shared" ref="E266:O266" si="419">E262*E265</f>
        <v>83469.540000000008</v>
      </c>
      <c r="F266" s="304">
        <f t="shared" si="419"/>
        <v>83469.540000000008</v>
      </c>
      <c r="G266" s="304">
        <f t="shared" si="419"/>
        <v>83469.540000000008</v>
      </c>
      <c r="H266" s="304">
        <f t="shared" si="419"/>
        <v>83469.540000000008</v>
      </c>
      <c r="I266" s="304">
        <f t="shared" si="419"/>
        <v>83469.540000000008</v>
      </c>
      <c r="J266" s="304">
        <f t="shared" si="419"/>
        <v>83469.540000000008</v>
      </c>
      <c r="K266" s="304">
        <f t="shared" si="419"/>
        <v>83469.540000000008</v>
      </c>
      <c r="L266" s="304">
        <f t="shared" si="419"/>
        <v>83469.540000000008</v>
      </c>
      <c r="M266" s="304">
        <f t="shared" si="419"/>
        <v>83469.540000000008</v>
      </c>
      <c r="N266" s="304">
        <f t="shared" si="419"/>
        <v>83469.540000000008</v>
      </c>
      <c r="O266" s="304">
        <f t="shared" si="419"/>
        <v>83469.540000000008</v>
      </c>
      <c r="P266" s="305">
        <f>SUM(D266:O266)</f>
        <v>1001634.4800000003</v>
      </c>
    </row>
    <row r="267" spans="2:16" x14ac:dyDescent="0.2">
      <c r="B267" s="726" t="s">
        <v>311</v>
      </c>
      <c r="C267" s="300" t="s">
        <v>45</v>
      </c>
      <c r="D267" s="278">
        <v>0</v>
      </c>
      <c r="E267" s="301">
        <f>+D267</f>
        <v>0</v>
      </c>
      <c r="F267" s="301">
        <f t="shared" ref="F267" si="420">+E267</f>
        <v>0</v>
      </c>
      <c r="G267" s="301">
        <f t="shared" ref="G267" si="421">+F267</f>
        <v>0</v>
      </c>
      <c r="H267" s="301">
        <f t="shared" ref="H267" si="422">+G267</f>
        <v>0</v>
      </c>
      <c r="I267" s="301">
        <f t="shared" ref="I267" si="423">+H267</f>
        <v>0</v>
      </c>
      <c r="J267" s="301">
        <f t="shared" ref="J267" si="424">+I267</f>
        <v>0</v>
      </c>
      <c r="K267" s="301">
        <f t="shared" ref="K267" si="425">+J267</f>
        <v>0</v>
      </c>
      <c r="L267" s="301">
        <f t="shared" ref="L267" si="426">+K267</f>
        <v>0</v>
      </c>
      <c r="M267" s="301">
        <f t="shared" ref="M267" si="427">+L267</f>
        <v>0</v>
      </c>
      <c r="N267" s="301">
        <f t="shared" ref="N267" si="428">+M267</f>
        <v>0</v>
      </c>
      <c r="O267" s="301">
        <f t="shared" ref="O267" si="429">+N267</f>
        <v>0</v>
      </c>
      <c r="P267" s="302">
        <f>+O267</f>
        <v>0</v>
      </c>
    </row>
    <row r="268" spans="2:16" ht="15" x14ac:dyDescent="0.25">
      <c r="B268" s="727" t="s">
        <v>315</v>
      </c>
      <c r="C268" s="300" t="s">
        <v>45</v>
      </c>
      <c r="D268" s="304">
        <f>D262*(D267)</f>
        <v>0</v>
      </c>
      <c r="E268" s="304">
        <f t="shared" ref="E268:O268" si="430">E262*(E267)</f>
        <v>0</v>
      </c>
      <c r="F268" s="304">
        <f t="shared" si="430"/>
        <v>0</v>
      </c>
      <c r="G268" s="304">
        <f t="shared" si="430"/>
        <v>0</v>
      </c>
      <c r="H268" s="304">
        <f t="shared" si="430"/>
        <v>0</v>
      </c>
      <c r="I268" s="304">
        <f t="shared" si="430"/>
        <v>0</v>
      </c>
      <c r="J268" s="304">
        <f t="shared" si="430"/>
        <v>0</v>
      </c>
      <c r="K268" s="304">
        <f t="shared" si="430"/>
        <v>0</v>
      </c>
      <c r="L268" s="304">
        <f t="shared" si="430"/>
        <v>0</v>
      </c>
      <c r="M268" s="304">
        <f t="shared" si="430"/>
        <v>0</v>
      </c>
      <c r="N268" s="304">
        <f t="shared" si="430"/>
        <v>0</v>
      </c>
      <c r="O268" s="304">
        <f t="shared" si="430"/>
        <v>0</v>
      </c>
      <c r="P268" s="305">
        <f>SUM(D268:O268)</f>
        <v>0</v>
      </c>
    </row>
    <row r="269" spans="2:16" ht="15" x14ac:dyDescent="0.25">
      <c r="B269" s="293" t="str">
        <f>+Ingresos!B260</f>
        <v>Guanábana Cítrica</v>
      </c>
      <c r="C269" s="294"/>
      <c r="D269" s="295"/>
      <c r="E269" s="295"/>
      <c r="F269" s="295"/>
      <c r="G269" s="295"/>
      <c r="H269" s="295"/>
      <c r="I269" s="295"/>
      <c r="J269" s="295"/>
      <c r="K269" s="295"/>
      <c r="L269" s="295"/>
      <c r="M269" s="295"/>
      <c r="N269" s="295"/>
      <c r="O269" s="295"/>
      <c r="P269" s="295"/>
    </row>
    <row r="270" spans="2:16" x14ac:dyDescent="0.2">
      <c r="B270" s="726" t="s">
        <v>159</v>
      </c>
      <c r="C270" s="296" t="s">
        <v>372</v>
      </c>
      <c r="D270" s="297">
        <f>+Ingresos!C261</f>
        <v>182.94</v>
      </c>
      <c r="E270" s="297">
        <f>+Ingresos!D261</f>
        <v>182.94</v>
      </c>
      <c r="F270" s="297">
        <f>+Ingresos!E261</f>
        <v>182.94</v>
      </c>
      <c r="G270" s="297">
        <f>+Ingresos!F261</f>
        <v>182.94</v>
      </c>
      <c r="H270" s="297">
        <f>+Ingresos!G261</f>
        <v>182.94</v>
      </c>
      <c r="I270" s="297">
        <f>+Ingresos!H261</f>
        <v>182.94</v>
      </c>
      <c r="J270" s="297">
        <f>+Ingresos!I261</f>
        <v>182.94</v>
      </c>
      <c r="K270" s="297">
        <f>+Ingresos!J261</f>
        <v>182.94</v>
      </c>
      <c r="L270" s="297">
        <f>+Ingresos!K261</f>
        <v>182.94</v>
      </c>
      <c r="M270" s="297">
        <f>+Ingresos!L261</f>
        <v>182.94</v>
      </c>
      <c r="N270" s="297">
        <f>+Ingresos!M261</f>
        <v>182.94</v>
      </c>
      <c r="O270" s="297">
        <f>+Ingresos!N261</f>
        <v>182.94</v>
      </c>
      <c r="P270" s="298">
        <f>SUM(D270:O270)</f>
        <v>2195.2800000000002</v>
      </c>
    </row>
    <row r="271" spans="2:16" x14ac:dyDescent="0.2">
      <c r="B271" s="726" t="s">
        <v>309</v>
      </c>
      <c r="C271" s="300" t="s">
        <v>45</v>
      </c>
      <c r="D271" s="278">
        <f>Ingresos!C264*0.65</f>
        <v>1489.1890000000001</v>
      </c>
      <c r="E271" s="301">
        <f>+D271</f>
        <v>1489.1890000000001</v>
      </c>
      <c r="F271" s="301">
        <f t="shared" ref="F271" si="431">+E271</f>
        <v>1489.1890000000001</v>
      </c>
      <c r="G271" s="301">
        <f t="shared" ref="G271" si="432">+F271</f>
        <v>1489.1890000000001</v>
      </c>
      <c r="H271" s="301">
        <f t="shared" ref="H271" si="433">+G271</f>
        <v>1489.1890000000001</v>
      </c>
      <c r="I271" s="301">
        <f t="shared" ref="I271" si="434">+H271</f>
        <v>1489.1890000000001</v>
      </c>
      <c r="J271" s="301">
        <f t="shared" ref="J271" si="435">+I271</f>
        <v>1489.1890000000001</v>
      </c>
      <c r="K271" s="301">
        <f t="shared" ref="K271" si="436">+J271</f>
        <v>1489.1890000000001</v>
      </c>
      <c r="L271" s="301">
        <f t="shared" ref="L271" si="437">+K271</f>
        <v>1489.1890000000001</v>
      </c>
      <c r="M271" s="301">
        <f t="shared" ref="M271" si="438">+L271</f>
        <v>1489.1890000000001</v>
      </c>
      <c r="N271" s="301">
        <f t="shared" ref="N271" si="439">+M271</f>
        <v>1489.1890000000001</v>
      </c>
      <c r="O271" s="301">
        <f t="shared" ref="O271" si="440">+N271</f>
        <v>1489.1890000000001</v>
      </c>
      <c r="P271" s="302">
        <f>+O271</f>
        <v>1489.1890000000001</v>
      </c>
    </row>
    <row r="272" spans="2:16" ht="15" x14ac:dyDescent="0.25">
      <c r="B272" s="727" t="s">
        <v>315</v>
      </c>
      <c r="C272" s="300" t="s">
        <v>45</v>
      </c>
      <c r="D272" s="304">
        <f>D270*D271</f>
        <v>272432.23566000001</v>
      </c>
      <c r="E272" s="304">
        <f t="shared" ref="E272:O272" si="441">E270*E271</f>
        <v>272432.23566000001</v>
      </c>
      <c r="F272" s="304">
        <f t="shared" si="441"/>
        <v>272432.23566000001</v>
      </c>
      <c r="G272" s="304">
        <f t="shared" si="441"/>
        <v>272432.23566000001</v>
      </c>
      <c r="H272" s="304">
        <f t="shared" si="441"/>
        <v>272432.23566000001</v>
      </c>
      <c r="I272" s="304">
        <f t="shared" si="441"/>
        <v>272432.23566000001</v>
      </c>
      <c r="J272" s="304">
        <f t="shared" si="441"/>
        <v>272432.23566000001</v>
      </c>
      <c r="K272" s="304">
        <f t="shared" si="441"/>
        <v>272432.23566000001</v>
      </c>
      <c r="L272" s="304">
        <f t="shared" si="441"/>
        <v>272432.23566000001</v>
      </c>
      <c r="M272" s="304">
        <f t="shared" si="441"/>
        <v>272432.23566000001</v>
      </c>
      <c r="N272" s="304">
        <f t="shared" si="441"/>
        <v>272432.23566000001</v>
      </c>
      <c r="O272" s="304">
        <f t="shared" si="441"/>
        <v>272432.23566000001</v>
      </c>
      <c r="P272" s="305">
        <f>SUM(D272:O272)</f>
        <v>3269186.8279199991</v>
      </c>
    </row>
    <row r="273" spans="2:16" x14ac:dyDescent="0.2">
      <c r="B273" s="726" t="s">
        <v>310</v>
      </c>
      <c r="C273" s="300" t="s">
        <v>45</v>
      </c>
      <c r="D273" s="278">
        <v>173.66</v>
      </c>
      <c r="E273" s="301">
        <f>+D273</f>
        <v>173.66</v>
      </c>
      <c r="F273" s="301">
        <f t="shared" ref="F273" si="442">+E273</f>
        <v>173.66</v>
      </c>
      <c r="G273" s="301">
        <f t="shared" ref="G273" si="443">+F273</f>
        <v>173.66</v>
      </c>
      <c r="H273" s="301">
        <f t="shared" ref="H273" si="444">+G273</f>
        <v>173.66</v>
      </c>
      <c r="I273" s="301">
        <f t="shared" ref="I273" si="445">+H273</f>
        <v>173.66</v>
      </c>
      <c r="J273" s="301">
        <f t="shared" ref="J273" si="446">+I273</f>
        <v>173.66</v>
      </c>
      <c r="K273" s="301">
        <f t="shared" ref="K273" si="447">+J273</f>
        <v>173.66</v>
      </c>
      <c r="L273" s="301">
        <f t="shared" ref="L273" si="448">+K273</f>
        <v>173.66</v>
      </c>
      <c r="M273" s="301">
        <f t="shared" ref="M273" si="449">+L273</f>
        <v>173.66</v>
      </c>
      <c r="N273" s="301">
        <f t="shared" ref="N273" si="450">+M273</f>
        <v>173.66</v>
      </c>
      <c r="O273" s="301">
        <f t="shared" ref="O273" si="451">+N273</f>
        <v>173.66</v>
      </c>
      <c r="P273" s="302">
        <f>+O273</f>
        <v>173.66</v>
      </c>
    </row>
    <row r="274" spans="2:16" ht="15" x14ac:dyDescent="0.25">
      <c r="B274" s="727" t="s">
        <v>315</v>
      </c>
      <c r="C274" s="300" t="s">
        <v>45</v>
      </c>
      <c r="D274" s="304">
        <f>D270*D273</f>
        <v>31769.360399999998</v>
      </c>
      <c r="E274" s="304">
        <f t="shared" ref="E274:O274" si="452">E270*E273</f>
        <v>31769.360399999998</v>
      </c>
      <c r="F274" s="304">
        <f t="shared" si="452"/>
        <v>31769.360399999998</v>
      </c>
      <c r="G274" s="304">
        <f t="shared" si="452"/>
        <v>31769.360399999998</v>
      </c>
      <c r="H274" s="304">
        <f t="shared" si="452"/>
        <v>31769.360399999998</v>
      </c>
      <c r="I274" s="304">
        <f t="shared" si="452"/>
        <v>31769.360399999998</v>
      </c>
      <c r="J274" s="304">
        <f t="shared" si="452"/>
        <v>31769.360399999998</v>
      </c>
      <c r="K274" s="304">
        <f t="shared" si="452"/>
        <v>31769.360399999998</v>
      </c>
      <c r="L274" s="304">
        <f t="shared" si="452"/>
        <v>31769.360399999998</v>
      </c>
      <c r="M274" s="304">
        <f t="shared" si="452"/>
        <v>31769.360399999998</v>
      </c>
      <c r="N274" s="304">
        <f t="shared" si="452"/>
        <v>31769.360399999998</v>
      </c>
      <c r="O274" s="304">
        <f t="shared" si="452"/>
        <v>31769.360399999998</v>
      </c>
      <c r="P274" s="305">
        <f>SUM(D274:O274)</f>
        <v>381232.3248</v>
      </c>
    </row>
    <row r="275" spans="2:16" x14ac:dyDescent="0.2">
      <c r="B275" s="726" t="s">
        <v>311</v>
      </c>
      <c r="C275" s="300" t="s">
        <v>45</v>
      </c>
      <c r="D275" s="278">
        <v>0</v>
      </c>
      <c r="E275" s="301">
        <f>+D275</f>
        <v>0</v>
      </c>
      <c r="F275" s="301">
        <f t="shared" ref="F275" si="453">+E275</f>
        <v>0</v>
      </c>
      <c r="G275" s="301">
        <f t="shared" ref="G275" si="454">+F275</f>
        <v>0</v>
      </c>
      <c r="H275" s="301">
        <f t="shared" ref="H275" si="455">+G275</f>
        <v>0</v>
      </c>
      <c r="I275" s="301">
        <f t="shared" ref="I275" si="456">+H275</f>
        <v>0</v>
      </c>
      <c r="J275" s="301">
        <f t="shared" ref="J275" si="457">+I275</f>
        <v>0</v>
      </c>
      <c r="K275" s="301">
        <f t="shared" ref="K275" si="458">+J275</f>
        <v>0</v>
      </c>
      <c r="L275" s="301">
        <f t="shared" ref="L275" si="459">+K275</f>
        <v>0</v>
      </c>
      <c r="M275" s="301">
        <f t="shared" ref="M275" si="460">+L275</f>
        <v>0</v>
      </c>
      <c r="N275" s="301">
        <f t="shared" ref="N275" si="461">+M275</f>
        <v>0</v>
      </c>
      <c r="O275" s="301">
        <f t="shared" ref="O275" si="462">+N275</f>
        <v>0</v>
      </c>
      <c r="P275" s="302">
        <f>+O275</f>
        <v>0</v>
      </c>
    </row>
    <row r="276" spans="2:16" ht="15" x14ac:dyDescent="0.25">
      <c r="B276" s="727" t="s">
        <v>315</v>
      </c>
      <c r="C276" s="300" t="s">
        <v>45</v>
      </c>
      <c r="D276" s="304">
        <f>D270*(D275)</f>
        <v>0</v>
      </c>
      <c r="E276" s="304">
        <f t="shared" ref="E276:O276" si="463">E270*(E275)</f>
        <v>0</v>
      </c>
      <c r="F276" s="304">
        <f t="shared" si="463"/>
        <v>0</v>
      </c>
      <c r="G276" s="304">
        <f t="shared" si="463"/>
        <v>0</v>
      </c>
      <c r="H276" s="304">
        <f t="shared" si="463"/>
        <v>0</v>
      </c>
      <c r="I276" s="304">
        <f t="shared" si="463"/>
        <v>0</v>
      </c>
      <c r="J276" s="304">
        <f t="shared" si="463"/>
        <v>0</v>
      </c>
      <c r="K276" s="304">
        <f t="shared" si="463"/>
        <v>0</v>
      </c>
      <c r="L276" s="304">
        <f t="shared" si="463"/>
        <v>0</v>
      </c>
      <c r="M276" s="304">
        <f t="shared" si="463"/>
        <v>0</v>
      </c>
      <c r="N276" s="304">
        <f t="shared" si="463"/>
        <v>0</v>
      </c>
      <c r="O276" s="304">
        <f t="shared" si="463"/>
        <v>0</v>
      </c>
      <c r="P276" s="305">
        <f>SUM(D276:O276)</f>
        <v>0</v>
      </c>
    </row>
    <row r="277" spans="2:16" ht="15" x14ac:dyDescent="0.25">
      <c r="B277" s="293" t="str">
        <f>+Ingresos!B268</f>
        <v>Guayaba Pera</v>
      </c>
      <c r="C277" s="294"/>
      <c r="D277" s="295"/>
      <c r="E277" s="295"/>
      <c r="F277" s="295"/>
      <c r="G277" s="295"/>
      <c r="H277" s="295"/>
      <c r="I277" s="295"/>
      <c r="J277" s="295"/>
      <c r="K277" s="295"/>
      <c r="L277" s="295"/>
      <c r="M277" s="295"/>
      <c r="N277" s="295"/>
      <c r="O277" s="295"/>
      <c r="P277" s="295"/>
    </row>
    <row r="278" spans="2:16" x14ac:dyDescent="0.2">
      <c r="B278" s="726" t="s">
        <v>159</v>
      </c>
      <c r="C278" s="296" t="s">
        <v>372</v>
      </c>
      <c r="D278" s="297">
        <f>+Ingresos!C269</f>
        <v>96.79</v>
      </c>
      <c r="E278" s="297">
        <f>+Ingresos!D269</f>
        <v>96.79</v>
      </c>
      <c r="F278" s="297">
        <f>+Ingresos!E269</f>
        <v>96.79</v>
      </c>
      <c r="G278" s="297">
        <f>+Ingresos!F269</f>
        <v>96.79</v>
      </c>
      <c r="H278" s="297">
        <f>+Ingresos!G269</f>
        <v>96.79</v>
      </c>
      <c r="I278" s="297">
        <f>+Ingresos!H269</f>
        <v>96.79</v>
      </c>
      <c r="J278" s="297">
        <f>+Ingresos!I269</f>
        <v>96.79</v>
      </c>
      <c r="K278" s="297">
        <f>+Ingresos!J269</f>
        <v>96.79</v>
      </c>
      <c r="L278" s="297">
        <f>+Ingresos!K269</f>
        <v>96.79</v>
      </c>
      <c r="M278" s="297">
        <f>+Ingresos!L269</f>
        <v>96.79</v>
      </c>
      <c r="N278" s="297">
        <f>+Ingresos!M269</f>
        <v>96.79</v>
      </c>
      <c r="O278" s="297">
        <f>+Ingresos!N269</f>
        <v>96.79</v>
      </c>
      <c r="P278" s="298">
        <f>SUM(D278:O278)</f>
        <v>1161.4799999999998</v>
      </c>
    </row>
    <row r="279" spans="2:16" x14ac:dyDescent="0.2">
      <c r="B279" s="726" t="s">
        <v>309</v>
      </c>
      <c r="C279" s="300" t="s">
        <v>45</v>
      </c>
      <c r="D279" s="278">
        <f>Ingresos!C272*0.65</f>
        <v>1045.0309999999999</v>
      </c>
      <c r="E279" s="301">
        <f>+D279</f>
        <v>1045.0309999999999</v>
      </c>
      <c r="F279" s="301">
        <f t="shared" ref="F279" si="464">+E279</f>
        <v>1045.0309999999999</v>
      </c>
      <c r="G279" s="301">
        <f t="shared" ref="G279" si="465">+F279</f>
        <v>1045.0309999999999</v>
      </c>
      <c r="H279" s="301">
        <f t="shared" ref="H279" si="466">+G279</f>
        <v>1045.0309999999999</v>
      </c>
      <c r="I279" s="301">
        <f t="shared" ref="I279" si="467">+H279</f>
        <v>1045.0309999999999</v>
      </c>
      <c r="J279" s="301">
        <f t="shared" ref="J279" si="468">+I279</f>
        <v>1045.0309999999999</v>
      </c>
      <c r="K279" s="301">
        <f t="shared" ref="K279" si="469">+J279</f>
        <v>1045.0309999999999</v>
      </c>
      <c r="L279" s="301">
        <f t="shared" ref="L279" si="470">+K279</f>
        <v>1045.0309999999999</v>
      </c>
      <c r="M279" s="301">
        <f t="shared" ref="M279" si="471">+L279</f>
        <v>1045.0309999999999</v>
      </c>
      <c r="N279" s="301">
        <f t="shared" ref="N279" si="472">+M279</f>
        <v>1045.0309999999999</v>
      </c>
      <c r="O279" s="301">
        <f t="shared" ref="O279" si="473">+N279</f>
        <v>1045.0309999999999</v>
      </c>
      <c r="P279" s="302">
        <f>+O279</f>
        <v>1045.0309999999999</v>
      </c>
    </row>
    <row r="280" spans="2:16" ht="15" x14ac:dyDescent="0.25">
      <c r="B280" s="727" t="s">
        <v>315</v>
      </c>
      <c r="C280" s="300" t="s">
        <v>45</v>
      </c>
      <c r="D280" s="304">
        <f>D278*D279</f>
        <v>101148.55049000001</v>
      </c>
      <c r="E280" s="304">
        <f t="shared" ref="E280:O280" si="474">E278*E279</f>
        <v>101148.55049000001</v>
      </c>
      <c r="F280" s="304">
        <f t="shared" si="474"/>
        <v>101148.55049000001</v>
      </c>
      <c r="G280" s="304">
        <f t="shared" si="474"/>
        <v>101148.55049000001</v>
      </c>
      <c r="H280" s="304">
        <f t="shared" si="474"/>
        <v>101148.55049000001</v>
      </c>
      <c r="I280" s="304">
        <f t="shared" si="474"/>
        <v>101148.55049000001</v>
      </c>
      <c r="J280" s="304">
        <f t="shared" si="474"/>
        <v>101148.55049000001</v>
      </c>
      <c r="K280" s="304">
        <f t="shared" si="474"/>
        <v>101148.55049000001</v>
      </c>
      <c r="L280" s="304">
        <f t="shared" si="474"/>
        <v>101148.55049000001</v>
      </c>
      <c r="M280" s="304">
        <f t="shared" si="474"/>
        <v>101148.55049000001</v>
      </c>
      <c r="N280" s="304">
        <f t="shared" si="474"/>
        <v>101148.55049000001</v>
      </c>
      <c r="O280" s="304">
        <f t="shared" si="474"/>
        <v>101148.55049000001</v>
      </c>
      <c r="P280" s="305">
        <f>SUM(D280:O280)</f>
        <v>1213782.6058800004</v>
      </c>
    </row>
    <row r="281" spans="2:16" x14ac:dyDescent="0.2">
      <c r="B281" s="726" t="s">
        <v>310</v>
      </c>
      <c r="C281" s="300" t="s">
        <v>45</v>
      </c>
      <c r="D281" s="278">
        <v>97.81</v>
      </c>
      <c r="E281" s="301">
        <f>+D281</f>
        <v>97.81</v>
      </c>
      <c r="F281" s="301">
        <f t="shared" ref="F281" si="475">+E281</f>
        <v>97.81</v>
      </c>
      <c r="G281" s="301">
        <f t="shared" ref="G281" si="476">+F281</f>
        <v>97.81</v>
      </c>
      <c r="H281" s="301">
        <f t="shared" ref="H281" si="477">+G281</f>
        <v>97.81</v>
      </c>
      <c r="I281" s="301">
        <f t="shared" ref="I281" si="478">+H281</f>
        <v>97.81</v>
      </c>
      <c r="J281" s="301">
        <f t="shared" ref="J281" si="479">+I281</f>
        <v>97.81</v>
      </c>
      <c r="K281" s="301">
        <f t="shared" ref="K281" si="480">+J281</f>
        <v>97.81</v>
      </c>
      <c r="L281" s="301">
        <f t="shared" ref="L281" si="481">+K281</f>
        <v>97.81</v>
      </c>
      <c r="M281" s="301">
        <f t="shared" ref="M281" si="482">+L281</f>
        <v>97.81</v>
      </c>
      <c r="N281" s="301">
        <f t="shared" ref="N281" si="483">+M281</f>
        <v>97.81</v>
      </c>
      <c r="O281" s="301">
        <f t="shared" ref="O281" si="484">+N281</f>
        <v>97.81</v>
      </c>
      <c r="P281" s="302">
        <f>+O281</f>
        <v>97.81</v>
      </c>
    </row>
    <row r="282" spans="2:16" ht="15" x14ac:dyDescent="0.25">
      <c r="B282" s="727" t="s">
        <v>315</v>
      </c>
      <c r="C282" s="300" t="s">
        <v>45</v>
      </c>
      <c r="D282" s="304">
        <f>D278*D281</f>
        <v>9467.0299000000014</v>
      </c>
      <c r="E282" s="304">
        <f t="shared" ref="E282:O282" si="485">E278*E281</f>
        <v>9467.0299000000014</v>
      </c>
      <c r="F282" s="304">
        <f t="shared" si="485"/>
        <v>9467.0299000000014</v>
      </c>
      <c r="G282" s="304">
        <f t="shared" si="485"/>
        <v>9467.0299000000014</v>
      </c>
      <c r="H282" s="304">
        <f t="shared" si="485"/>
        <v>9467.0299000000014</v>
      </c>
      <c r="I282" s="304">
        <f t="shared" si="485"/>
        <v>9467.0299000000014</v>
      </c>
      <c r="J282" s="304">
        <f t="shared" si="485"/>
        <v>9467.0299000000014</v>
      </c>
      <c r="K282" s="304">
        <f t="shared" si="485"/>
        <v>9467.0299000000014</v>
      </c>
      <c r="L282" s="304">
        <f t="shared" si="485"/>
        <v>9467.0299000000014</v>
      </c>
      <c r="M282" s="304">
        <f t="shared" si="485"/>
        <v>9467.0299000000014</v>
      </c>
      <c r="N282" s="304">
        <f t="shared" si="485"/>
        <v>9467.0299000000014</v>
      </c>
      <c r="O282" s="304">
        <f t="shared" si="485"/>
        <v>9467.0299000000014</v>
      </c>
      <c r="P282" s="305">
        <f>SUM(D282:O282)</f>
        <v>113604.35879999999</v>
      </c>
    </row>
    <row r="283" spans="2:16" x14ac:dyDescent="0.2">
      <c r="B283" s="726" t="s">
        <v>311</v>
      </c>
      <c r="C283" s="300" t="s">
        <v>45</v>
      </c>
      <c r="D283" s="278">
        <v>0</v>
      </c>
      <c r="E283" s="301">
        <f>+D283</f>
        <v>0</v>
      </c>
      <c r="F283" s="301">
        <f t="shared" ref="F283" si="486">+E283</f>
        <v>0</v>
      </c>
      <c r="G283" s="301">
        <f t="shared" ref="G283" si="487">+F283</f>
        <v>0</v>
      </c>
      <c r="H283" s="301">
        <f t="shared" ref="H283" si="488">+G283</f>
        <v>0</v>
      </c>
      <c r="I283" s="301">
        <f t="shared" ref="I283" si="489">+H283</f>
        <v>0</v>
      </c>
      <c r="J283" s="301">
        <f t="shared" ref="J283" si="490">+I283</f>
        <v>0</v>
      </c>
      <c r="K283" s="301">
        <f t="shared" ref="K283" si="491">+J283</f>
        <v>0</v>
      </c>
      <c r="L283" s="301">
        <f t="shared" ref="L283" si="492">+K283</f>
        <v>0</v>
      </c>
      <c r="M283" s="301">
        <f t="shared" ref="M283" si="493">+L283</f>
        <v>0</v>
      </c>
      <c r="N283" s="301">
        <f t="shared" ref="N283" si="494">+M283</f>
        <v>0</v>
      </c>
      <c r="O283" s="301">
        <f t="shared" ref="O283" si="495">+N283</f>
        <v>0</v>
      </c>
      <c r="P283" s="302">
        <f>+O283</f>
        <v>0</v>
      </c>
    </row>
    <row r="284" spans="2:16" ht="15" x14ac:dyDescent="0.25">
      <c r="B284" s="727" t="s">
        <v>315</v>
      </c>
      <c r="C284" s="300" t="s">
        <v>45</v>
      </c>
      <c r="D284" s="304">
        <f>D278*(D283)</f>
        <v>0</v>
      </c>
      <c r="E284" s="304">
        <f t="shared" ref="E284:O284" si="496">E278*(E283)</f>
        <v>0</v>
      </c>
      <c r="F284" s="304">
        <f t="shared" si="496"/>
        <v>0</v>
      </c>
      <c r="G284" s="304">
        <f t="shared" si="496"/>
        <v>0</v>
      </c>
      <c r="H284" s="304">
        <f t="shared" si="496"/>
        <v>0</v>
      </c>
      <c r="I284" s="304">
        <f t="shared" si="496"/>
        <v>0</v>
      </c>
      <c r="J284" s="304">
        <f t="shared" si="496"/>
        <v>0</v>
      </c>
      <c r="K284" s="304">
        <f t="shared" si="496"/>
        <v>0</v>
      </c>
      <c r="L284" s="304">
        <f t="shared" si="496"/>
        <v>0</v>
      </c>
      <c r="M284" s="304">
        <f t="shared" si="496"/>
        <v>0</v>
      </c>
      <c r="N284" s="304">
        <f t="shared" si="496"/>
        <v>0</v>
      </c>
      <c r="O284" s="304">
        <f t="shared" si="496"/>
        <v>0</v>
      </c>
      <c r="P284" s="305">
        <f>SUM(D284:O284)</f>
        <v>0</v>
      </c>
    </row>
    <row r="285" spans="2:16" ht="15" x14ac:dyDescent="0.25">
      <c r="B285" s="293" t="str">
        <f>+Ingresos!B276</f>
        <v>Limón Común</v>
      </c>
      <c r="C285" s="294"/>
      <c r="D285" s="295"/>
      <c r="E285" s="295"/>
      <c r="F285" s="295"/>
      <c r="G285" s="295"/>
      <c r="H285" s="295"/>
      <c r="I285" s="295"/>
      <c r="J285" s="295"/>
      <c r="K285" s="295"/>
      <c r="L285" s="295"/>
      <c r="M285" s="295"/>
      <c r="N285" s="295"/>
      <c r="O285" s="295"/>
      <c r="P285" s="295"/>
    </row>
    <row r="286" spans="2:16" x14ac:dyDescent="0.2">
      <c r="B286" s="726" t="s">
        <v>159</v>
      </c>
      <c r="C286" s="296" t="s">
        <v>372</v>
      </c>
      <c r="D286" s="297">
        <f>+Ingresos!C277</f>
        <v>2521.46</v>
      </c>
      <c r="E286" s="297">
        <f>+Ingresos!D277</f>
        <v>2521.46</v>
      </c>
      <c r="F286" s="297">
        <f>+Ingresos!E277</f>
        <v>2521.46</v>
      </c>
      <c r="G286" s="297">
        <f>+Ingresos!F277</f>
        <v>2521.46</v>
      </c>
      <c r="H286" s="297">
        <f>+Ingresos!G277</f>
        <v>2521.46</v>
      </c>
      <c r="I286" s="297">
        <f>+Ingresos!H277</f>
        <v>2521.46</v>
      </c>
      <c r="J286" s="297">
        <f>+Ingresos!I277</f>
        <v>2521.46</v>
      </c>
      <c r="K286" s="297">
        <f>+Ingresos!J277</f>
        <v>2521.46</v>
      </c>
      <c r="L286" s="297">
        <f>+Ingresos!K277</f>
        <v>2521.46</v>
      </c>
      <c r="M286" s="297">
        <f>+Ingresos!L277</f>
        <v>2521.46</v>
      </c>
      <c r="N286" s="297">
        <f>+Ingresos!M277</f>
        <v>2521.46</v>
      </c>
      <c r="O286" s="297">
        <f>+Ingresos!N277</f>
        <v>2521.46</v>
      </c>
      <c r="P286" s="298">
        <f>SUM(D286:O286)</f>
        <v>30257.519999999993</v>
      </c>
    </row>
    <row r="287" spans="2:16" x14ac:dyDescent="0.2">
      <c r="B287" s="726" t="s">
        <v>309</v>
      </c>
      <c r="C287" s="300" t="s">
        <v>45</v>
      </c>
      <c r="D287" s="278">
        <f>Ingresos!C312*0.65</f>
        <v>1778.6210000000001</v>
      </c>
      <c r="E287" s="301">
        <f>+D287</f>
        <v>1778.6210000000001</v>
      </c>
      <c r="F287" s="301">
        <f t="shared" ref="F287" si="497">+E287</f>
        <v>1778.6210000000001</v>
      </c>
      <c r="G287" s="301">
        <f t="shared" ref="G287" si="498">+F287</f>
        <v>1778.6210000000001</v>
      </c>
      <c r="H287" s="301">
        <f t="shared" ref="H287" si="499">+G287</f>
        <v>1778.6210000000001</v>
      </c>
      <c r="I287" s="301">
        <f t="shared" ref="I287" si="500">+H287</f>
        <v>1778.6210000000001</v>
      </c>
      <c r="J287" s="301">
        <f t="shared" ref="J287" si="501">+I287</f>
        <v>1778.6210000000001</v>
      </c>
      <c r="K287" s="301">
        <f t="shared" ref="K287" si="502">+J287</f>
        <v>1778.6210000000001</v>
      </c>
      <c r="L287" s="301">
        <f t="shared" ref="L287" si="503">+K287</f>
        <v>1778.6210000000001</v>
      </c>
      <c r="M287" s="301">
        <f t="shared" ref="M287" si="504">+L287</f>
        <v>1778.6210000000001</v>
      </c>
      <c r="N287" s="301">
        <f t="shared" ref="N287" si="505">+M287</f>
        <v>1778.6210000000001</v>
      </c>
      <c r="O287" s="301">
        <f t="shared" ref="O287" si="506">+N287</f>
        <v>1778.6210000000001</v>
      </c>
      <c r="P287" s="302">
        <f>+O287</f>
        <v>1778.6210000000001</v>
      </c>
    </row>
    <row r="288" spans="2:16" ht="15" x14ac:dyDescent="0.25">
      <c r="B288" s="727" t="s">
        <v>315</v>
      </c>
      <c r="C288" s="300" t="s">
        <v>45</v>
      </c>
      <c r="D288" s="304">
        <f>D286*D287</f>
        <v>4484721.7066600006</v>
      </c>
      <c r="E288" s="304">
        <f t="shared" ref="E288:O288" si="507">E286*E287</f>
        <v>4484721.7066600006</v>
      </c>
      <c r="F288" s="304">
        <f t="shared" si="507"/>
        <v>4484721.7066600006</v>
      </c>
      <c r="G288" s="304">
        <f t="shared" si="507"/>
        <v>4484721.7066600006</v>
      </c>
      <c r="H288" s="304">
        <f t="shared" si="507"/>
        <v>4484721.7066600006</v>
      </c>
      <c r="I288" s="304">
        <f t="shared" si="507"/>
        <v>4484721.7066600006</v>
      </c>
      <c r="J288" s="304">
        <f t="shared" si="507"/>
        <v>4484721.7066600006</v>
      </c>
      <c r="K288" s="304">
        <f t="shared" si="507"/>
        <v>4484721.7066600006</v>
      </c>
      <c r="L288" s="304">
        <f t="shared" si="507"/>
        <v>4484721.7066600006</v>
      </c>
      <c r="M288" s="304">
        <f t="shared" si="507"/>
        <v>4484721.7066600006</v>
      </c>
      <c r="N288" s="304">
        <f t="shared" si="507"/>
        <v>4484721.7066600006</v>
      </c>
      <c r="O288" s="304">
        <f t="shared" si="507"/>
        <v>4484721.7066600006</v>
      </c>
      <c r="P288" s="305">
        <f>SUM(D288:O288)</f>
        <v>53816660.479920022</v>
      </c>
    </row>
    <row r="289" spans="2:16" x14ac:dyDescent="0.2">
      <c r="B289" s="726" t="s">
        <v>310</v>
      </c>
      <c r="C289" s="300" t="s">
        <v>45</v>
      </c>
      <c r="D289" s="278">
        <v>97.81</v>
      </c>
      <c r="E289" s="301">
        <f>+D289</f>
        <v>97.81</v>
      </c>
      <c r="F289" s="301">
        <f t="shared" ref="F289" si="508">+E289</f>
        <v>97.81</v>
      </c>
      <c r="G289" s="301">
        <f t="shared" ref="G289" si="509">+F289</f>
        <v>97.81</v>
      </c>
      <c r="H289" s="301">
        <f t="shared" ref="H289" si="510">+G289</f>
        <v>97.81</v>
      </c>
      <c r="I289" s="301">
        <f t="shared" ref="I289" si="511">+H289</f>
        <v>97.81</v>
      </c>
      <c r="J289" s="301">
        <f t="shared" ref="J289" si="512">+I289</f>
        <v>97.81</v>
      </c>
      <c r="K289" s="301">
        <f t="shared" ref="K289" si="513">+J289</f>
        <v>97.81</v>
      </c>
      <c r="L289" s="301">
        <f t="shared" ref="L289" si="514">+K289</f>
        <v>97.81</v>
      </c>
      <c r="M289" s="301">
        <f t="shared" ref="M289" si="515">+L289</f>
        <v>97.81</v>
      </c>
      <c r="N289" s="301">
        <f t="shared" ref="N289" si="516">+M289</f>
        <v>97.81</v>
      </c>
      <c r="O289" s="301">
        <f t="shared" ref="O289" si="517">+N289</f>
        <v>97.81</v>
      </c>
      <c r="P289" s="302">
        <f>+O289</f>
        <v>97.81</v>
      </c>
    </row>
    <row r="290" spans="2:16" ht="15" x14ac:dyDescent="0.25">
      <c r="B290" s="727" t="s">
        <v>315</v>
      </c>
      <c r="C290" s="300" t="s">
        <v>45</v>
      </c>
      <c r="D290" s="304">
        <f>D286*D289</f>
        <v>246624.00260000001</v>
      </c>
      <c r="E290" s="304">
        <f t="shared" ref="E290:O290" si="518">E286*E289</f>
        <v>246624.00260000001</v>
      </c>
      <c r="F290" s="304">
        <f t="shared" si="518"/>
        <v>246624.00260000001</v>
      </c>
      <c r="G290" s="304">
        <f t="shared" si="518"/>
        <v>246624.00260000001</v>
      </c>
      <c r="H290" s="304">
        <f t="shared" si="518"/>
        <v>246624.00260000001</v>
      </c>
      <c r="I290" s="304">
        <f t="shared" si="518"/>
        <v>246624.00260000001</v>
      </c>
      <c r="J290" s="304">
        <f t="shared" si="518"/>
        <v>246624.00260000001</v>
      </c>
      <c r="K290" s="304">
        <f t="shared" si="518"/>
        <v>246624.00260000001</v>
      </c>
      <c r="L290" s="304">
        <f t="shared" si="518"/>
        <v>246624.00260000001</v>
      </c>
      <c r="M290" s="304">
        <f t="shared" si="518"/>
        <v>246624.00260000001</v>
      </c>
      <c r="N290" s="304">
        <f t="shared" si="518"/>
        <v>246624.00260000001</v>
      </c>
      <c r="O290" s="304">
        <f t="shared" si="518"/>
        <v>246624.00260000001</v>
      </c>
      <c r="P290" s="305">
        <f>SUM(D290:O290)</f>
        <v>2959488.031200001</v>
      </c>
    </row>
    <row r="291" spans="2:16" x14ac:dyDescent="0.2">
      <c r="B291" s="726" t="s">
        <v>311</v>
      </c>
      <c r="C291" s="300" t="s">
        <v>45</v>
      </c>
      <c r="D291" s="278">
        <v>0</v>
      </c>
      <c r="E291" s="301">
        <f>+D291</f>
        <v>0</v>
      </c>
      <c r="F291" s="301">
        <f t="shared" ref="F291" si="519">+E291</f>
        <v>0</v>
      </c>
      <c r="G291" s="301">
        <f t="shared" ref="G291" si="520">+F291</f>
        <v>0</v>
      </c>
      <c r="H291" s="301">
        <f t="shared" ref="H291" si="521">+G291</f>
        <v>0</v>
      </c>
      <c r="I291" s="301">
        <f t="shared" ref="I291" si="522">+H291</f>
        <v>0</v>
      </c>
      <c r="J291" s="301">
        <f t="shared" ref="J291" si="523">+I291</f>
        <v>0</v>
      </c>
      <c r="K291" s="301">
        <f t="shared" ref="K291" si="524">+J291</f>
        <v>0</v>
      </c>
      <c r="L291" s="301">
        <f t="shared" ref="L291" si="525">+K291</f>
        <v>0</v>
      </c>
      <c r="M291" s="301">
        <f t="shared" ref="M291" si="526">+L291</f>
        <v>0</v>
      </c>
      <c r="N291" s="301">
        <f t="shared" ref="N291" si="527">+M291</f>
        <v>0</v>
      </c>
      <c r="O291" s="301">
        <f t="shared" ref="O291" si="528">+N291</f>
        <v>0</v>
      </c>
      <c r="P291" s="302">
        <f>+O291</f>
        <v>0</v>
      </c>
    </row>
    <row r="292" spans="2:16" ht="15" x14ac:dyDescent="0.25">
      <c r="B292" s="727" t="s">
        <v>315</v>
      </c>
      <c r="C292" s="300" t="s">
        <v>45</v>
      </c>
      <c r="D292" s="304">
        <f>D286*(D291)</f>
        <v>0</v>
      </c>
      <c r="E292" s="304">
        <f t="shared" ref="E292:O292" si="529">E286*(E291)</f>
        <v>0</v>
      </c>
      <c r="F292" s="304">
        <f t="shared" si="529"/>
        <v>0</v>
      </c>
      <c r="G292" s="304">
        <f t="shared" si="529"/>
        <v>0</v>
      </c>
      <c r="H292" s="304">
        <f t="shared" si="529"/>
        <v>0</v>
      </c>
      <c r="I292" s="304">
        <f t="shared" si="529"/>
        <v>0</v>
      </c>
      <c r="J292" s="304">
        <f t="shared" si="529"/>
        <v>0</v>
      </c>
      <c r="K292" s="304">
        <f t="shared" si="529"/>
        <v>0</v>
      </c>
      <c r="L292" s="304">
        <f t="shared" si="529"/>
        <v>0</v>
      </c>
      <c r="M292" s="304">
        <f t="shared" si="529"/>
        <v>0</v>
      </c>
      <c r="N292" s="304">
        <f t="shared" si="529"/>
        <v>0</v>
      </c>
      <c r="O292" s="304">
        <f t="shared" si="529"/>
        <v>0</v>
      </c>
      <c r="P292" s="305">
        <f>SUM(D292:O292)</f>
        <v>0</v>
      </c>
    </row>
    <row r="293" spans="2:16" ht="15" x14ac:dyDescent="0.25">
      <c r="B293" s="293" t="str">
        <f>+Ingresos!B284</f>
        <v>Limón Tahití</v>
      </c>
      <c r="C293" s="294"/>
      <c r="D293" s="295"/>
      <c r="E293" s="295"/>
      <c r="F293" s="295"/>
      <c r="G293" s="295"/>
      <c r="H293" s="295"/>
      <c r="I293" s="295"/>
      <c r="J293" s="295"/>
      <c r="K293" s="295"/>
      <c r="L293" s="295"/>
      <c r="M293" s="295"/>
      <c r="N293" s="295"/>
      <c r="O293" s="295"/>
      <c r="P293" s="295"/>
    </row>
    <row r="294" spans="2:16" x14ac:dyDescent="0.2">
      <c r="B294" s="726" t="s">
        <v>159</v>
      </c>
      <c r="C294" s="296" t="s">
        <v>372</v>
      </c>
      <c r="D294" s="297">
        <f>+Ingresos!C285</f>
        <v>4404.09</v>
      </c>
      <c r="E294" s="297">
        <f>+Ingresos!D285</f>
        <v>4404.09</v>
      </c>
      <c r="F294" s="297">
        <f>+Ingresos!E285</f>
        <v>4404.09</v>
      </c>
      <c r="G294" s="297">
        <f>+Ingresos!F285</f>
        <v>4404.09</v>
      </c>
      <c r="H294" s="297">
        <f>+Ingresos!G285</f>
        <v>4404.09</v>
      </c>
      <c r="I294" s="297">
        <f>+Ingresos!H285</f>
        <v>4404.09</v>
      </c>
      <c r="J294" s="297">
        <f>+Ingresos!I285</f>
        <v>4404.09</v>
      </c>
      <c r="K294" s="297">
        <f>+Ingresos!J285</f>
        <v>4404.09</v>
      </c>
      <c r="L294" s="297">
        <f>+Ingresos!K285</f>
        <v>4404.09</v>
      </c>
      <c r="M294" s="297">
        <f>+Ingresos!L285</f>
        <v>4404.09</v>
      </c>
      <c r="N294" s="297">
        <f>+Ingresos!M285</f>
        <v>4404.09</v>
      </c>
      <c r="O294" s="297">
        <f>+Ingresos!N285</f>
        <v>4404.09</v>
      </c>
      <c r="P294" s="298">
        <f>SUM(D294:O294)</f>
        <v>52849.079999999987</v>
      </c>
    </row>
    <row r="295" spans="2:16" x14ac:dyDescent="0.2">
      <c r="B295" s="726" t="s">
        <v>309</v>
      </c>
      <c r="C295" s="300" t="s">
        <v>45</v>
      </c>
      <c r="D295" s="278">
        <f>Ingresos!C288*0.65</f>
        <v>2134.08</v>
      </c>
      <c r="E295" s="301">
        <f>+D295</f>
        <v>2134.08</v>
      </c>
      <c r="F295" s="301">
        <f t="shared" ref="F295" si="530">+E295</f>
        <v>2134.08</v>
      </c>
      <c r="G295" s="301">
        <f t="shared" ref="G295" si="531">+F295</f>
        <v>2134.08</v>
      </c>
      <c r="H295" s="301">
        <f t="shared" ref="H295" si="532">+G295</f>
        <v>2134.08</v>
      </c>
      <c r="I295" s="301">
        <f t="shared" ref="I295" si="533">+H295</f>
        <v>2134.08</v>
      </c>
      <c r="J295" s="301">
        <f t="shared" ref="J295" si="534">+I295</f>
        <v>2134.08</v>
      </c>
      <c r="K295" s="301">
        <f t="shared" ref="K295" si="535">+J295</f>
        <v>2134.08</v>
      </c>
      <c r="L295" s="301">
        <f t="shared" ref="L295" si="536">+K295</f>
        <v>2134.08</v>
      </c>
      <c r="M295" s="301">
        <f t="shared" ref="M295" si="537">+L295</f>
        <v>2134.08</v>
      </c>
      <c r="N295" s="301">
        <f t="shared" ref="N295" si="538">+M295</f>
        <v>2134.08</v>
      </c>
      <c r="O295" s="301">
        <f t="shared" ref="O295" si="539">+N295</f>
        <v>2134.08</v>
      </c>
      <c r="P295" s="302">
        <f>+O295</f>
        <v>2134.08</v>
      </c>
    </row>
    <row r="296" spans="2:16" ht="15" x14ac:dyDescent="0.25">
      <c r="B296" s="727" t="s">
        <v>315</v>
      </c>
      <c r="C296" s="300" t="s">
        <v>45</v>
      </c>
      <c r="D296" s="304">
        <f>D294*D295</f>
        <v>9398680.3871999998</v>
      </c>
      <c r="E296" s="304">
        <f t="shared" ref="E296:O296" si="540">E294*E295</f>
        <v>9398680.3871999998</v>
      </c>
      <c r="F296" s="304">
        <f t="shared" si="540"/>
        <v>9398680.3871999998</v>
      </c>
      <c r="G296" s="304">
        <f t="shared" si="540"/>
        <v>9398680.3871999998</v>
      </c>
      <c r="H296" s="304">
        <f t="shared" si="540"/>
        <v>9398680.3871999998</v>
      </c>
      <c r="I296" s="304">
        <f t="shared" si="540"/>
        <v>9398680.3871999998</v>
      </c>
      <c r="J296" s="304">
        <f t="shared" si="540"/>
        <v>9398680.3871999998</v>
      </c>
      <c r="K296" s="304">
        <f t="shared" si="540"/>
        <v>9398680.3871999998</v>
      </c>
      <c r="L296" s="304">
        <f t="shared" si="540"/>
        <v>9398680.3871999998</v>
      </c>
      <c r="M296" s="304">
        <f t="shared" si="540"/>
        <v>9398680.3871999998</v>
      </c>
      <c r="N296" s="304">
        <f t="shared" si="540"/>
        <v>9398680.3871999998</v>
      </c>
      <c r="O296" s="304">
        <f t="shared" si="540"/>
        <v>9398680.3871999998</v>
      </c>
      <c r="P296" s="305">
        <f>SUM(D296:O296)</f>
        <v>112784164.64639999</v>
      </c>
    </row>
    <row r="297" spans="2:16" x14ac:dyDescent="0.2">
      <c r="B297" s="726" t="s">
        <v>310</v>
      </c>
      <c r="C297" s="300" t="s">
        <v>45</v>
      </c>
      <c r="D297" s="278">
        <v>83.96</v>
      </c>
      <c r="E297" s="301">
        <f>+D297</f>
        <v>83.96</v>
      </c>
      <c r="F297" s="301">
        <f t="shared" ref="F297" si="541">+E297</f>
        <v>83.96</v>
      </c>
      <c r="G297" s="301">
        <f t="shared" ref="G297" si="542">+F297</f>
        <v>83.96</v>
      </c>
      <c r="H297" s="301">
        <f t="shared" ref="H297" si="543">+G297</f>
        <v>83.96</v>
      </c>
      <c r="I297" s="301">
        <f t="shared" ref="I297" si="544">+H297</f>
        <v>83.96</v>
      </c>
      <c r="J297" s="301">
        <f t="shared" ref="J297" si="545">+I297</f>
        <v>83.96</v>
      </c>
      <c r="K297" s="301">
        <f t="shared" ref="K297" si="546">+J297</f>
        <v>83.96</v>
      </c>
      <c r="L297" s="301">
        <f t="shared" ref="L297" si="547">+K297</f>
        <v>83.96</v>
      </c>
      <c r="M297" s="301">
        <f t="shared" ref="M297" si="548">+L297</f>
        <v>83.96</v>
      </c>
      <c r="N297" s="301">
        <f t="shared" ref="N297" si="549">+M297</f>
        <v>83.96</v>
      </c>
      <c r="O297" s="301">
        <f t="shared" ref="O297" si="550">+N297</f>
        <v>83.96</v>
      </c>
      <c r="P297" s="302">
        <f>+O297</f>
        <v>83.96</v>
      </c>
    </row>
    <row r="298" spans="2:16" ht="15" x14ac:dyDescent="0.25">
      <c r="B298" s="727" t="s">
        <v>315</v>
      </c>
      <c r="C298" s="300" t="s">
        <v>45</v>
      </c>
      <c r="D298" s="304">
        <f>D294*D297</f>
        <v>369767.39639999997</v>
      </c>
      <c r="E298" s="304">
        <f t="shared" ref="E298:O298" si="551">E294*E297</f>
        <v>369767.39639999997</v>
      </c>
      <c r="F298" s="304">
        <f t="shared" si="551"/>
        <v>369767.39639999997</v>
      </c>
      <c r="G298" s="304">
        <f t="shared" si="551"/>
        <v>369767.39639999997</v>
      </c>
      <c r="H298" s="304">
        <f t="shared" si="551"/>
        <v>369767.39639999997</v>
      </c>
      <c r="I298" s="304">
        <f t="shared" si="551"/>
        <v>369767.39639999997</v>
      </c>
      <c r="J298" s="304">
        <f t="shared" si="551"/>
        <v>369767.39639999997</v>
      </c>
      <c r="K298" s="304">
        <f t="shared" si="551"/>
        <v>369767.39639999997</v>
      </c>
      <c r="L298" s="304">
        <f t="shared" si="551"/>
        <v>369767.39639999997</v>
      </c>
      <c r="M298" s="304">
        <f t="shared" si="551"/>
        <v>369767.39639999997</v>
      </c>
      <c r="N298" s="304">
        <f t="shared" si="551"/>
        <v>369767.39639999997</v>
      </c>
      <c r="O298" s="304">
        <f t="shared" si="551"/>
        <v>369767.39639999997</v>
      </c>
      <c r="P298" s="305">
        <f>SUM(D298:O298)</f>
        <v>4437208.7567999996</v>
      </c>
    </row>
    <row r="299" spans="2:16" x14ac:dyDescent="0.2">
      <c r="B299" s="726" t="s">
        <v>311</v>
      </c>
      <c r="C299" s="300" t="s">
        <v>45</v>
      </c>
      <c r="D299" s="278">
        <v>0</v>
      </c>
      <c r="E299" s="301">
        <f>+D299</f>
        <v>0</v>
      </c>
      <c r="F299" s="301">
        <f t="shared" ref="F299" si="552">+E299</f>
        <v>0</v>
      </c>
      <c r="G299" s="301">
        <f t="shared" ref="G299" si="553">+F299</f>
        <v>0</v>
      </c>
      <c r="H299" s="301">
        <f t="shared" ref="H299" si="554">+G299</f>
        <v>0</v>
      </c>
      <c r="I299" s="301">
        <f t="shared" ref="I299" si="555">+H299</f>
        <v>0</v>
      </c>
      <c r="J299" s="301">
        <f t="shared" ref="J299" si="556">+I299</f>
        <v>0</v>
      </c>
      <c r="K299" s="301">
        <f t="shared" ref="K299" si="557">+J299</f>
        <v>0</v>
      </c>
      <c r="L299" s="301">
        <f t="shared" ref="L299" si="558">+K299</f>
        <v>0</v>
      </c>
      <c r="M299" s="301">
        <f t="shared" ref="M299" si="559">+L299</f>
        <v>0</v>
      </c>
      <c r="N299" s="301">
        <f t="shared" ref="N299" si="560">+M299</f>
        <v>0</v>
      </c>
      <c r="O299" s="301">
        <f t="shared" ref="O299" si="561">+N299</f>
        <v>0</v>
      </c>
      <c r="P299" s="302">
        <f>+O299</f>
        <v>0</v>
      </c>
    </row>
    <row r="300" spans="2:16" ht="15" x14ac:dyDescent="0.25">
      <c r="B300" s="727" t="s">
        <v>315</v>
      </c>
      <c r="C300" s="300" t="s">
        <v>45</v>
      </c>
      <c r="D300" s="304">
        <f>D294*(D299)</f>
        <v>0</v>
      </c>
      <c r="E300" s="304">
        <f t="shared" ref="E300:O300" si="562">E294*(E299)</f>
        <v>0</v>
      </c>
      <c r="F300" s="304">
        <f t="shared" si="562"/>
        <v>0</v>
      </c>
      <c r="G300" s="304">
        <f t="shared" si="562"/>
        <v>0</v>
      </c>
      <c r="H300" s="304">
        <f t="shared" si="562"/>
        <v>0</v>
      </c>
      <c r="I300" s="304">
        <f t="shared" si="562"/>
        <v>0</v>
      </c>
      <c r="J300" s="304">
        <f t="shared" si="562"/>
        <v>0</v>
      </c>
      <c r="K300" s="304">
        <f t="shared" si="562"/>
        <v>0</v>
      </c>
      <c r="L300" s="304">
        <f t="shared" si="562"/>
        <v>0</v>
      </c>
      <c r="M300" s="304">
        <f t="shared" si="562"/>
        <v>0</v>
      </c>
      <c r="N300" s="304">
        <f t="shared" si="562"/>
        <v>0</v>
      </c>
      <c r="O300" s="304">
        <f t="shared" si="562"/>
        <v>0</v>
      </c>
      <c r="P300" s="305">
        <f>SUM(D300:O300)</f>
        <v>0</v>
      </c>
    </row>
    <row r="301" spans="2:16" ht="15" x14ac:dyDescent="0.25">
      <c r="B301" s="293" t="str">
        <f>+Ingresos!B292</f>
        <v>Lulo</v>
      </c>
      <c r="C301" s="294"/>
      <c r="D301" s="295"/>
      <c r="E301" s="295"/>
      <c r="F301" s="295"/>
      <c r="G301" s="295"/>
      <c r="H301" s="295"/>
      <c r="I301" s="295"/>
      <c r="J301" s="295"/>
      <c r="K301" s="295"/>
      <c r="L301" s="295"/>
      <c r="M301" s="295"/>
      <c r="N301" s="295"/>
      <c r="O301" s="295"/>
      <c r="P301" s="295"/>
    </row>
    <row r="302" spans="2:16" x14ac:dyDescent="0.2">
      <c r="B302" s="726" t="s">
        <v>159</v>
      </c>
      <c r="C302" s="296" t="s">
        <v>372</v>
      </c>
      <c r="D302" s="297">
        <f>+Ingresos!C293</f>
        <v>138.43</v>
      </c>
      <c r="E302" s="297">
        <f>+Ingresos!D293</f>
        <v>138.43</v>
      </c>
      <c r="F302" s="297">
        <f>+Ingresos!E293</f>
        <v>138.43</v>
      </c>
      <c r="G302" s="297">
        <f>+Ingresos!F293</f>
        <v>138.43</v>
      </c>
      <c r="H302" s="297">
        <f>+Ingresos!G293</f>
        <v>138.43</v>
      </c>
      <c r="I302" s="297">
        <f>+Ingresos!H293</f>
        <v>138.43</v>
      </c>
      <c r="J302" s="297">
        <f>+Ingresos!I293</f>
        <v>138.43</v>
      </c>
      <c r="K302" s="297">
        <f>+Ingresos!J293</f>
        <v>138.43</v>
      </c>
      <c r="L302" s="297">
        <f>+Ingresos!K293</f>
        <v>138.43</v>
      </c>
      <c r="M302" s="297">
        <f>+Ingresos!L293</f>
        <v>138.43</v>
      </c>
      <c r="N302" s="297">
        <f>+Ingresos!M293</f>
        <v>138.43</v>
      </c>
      <c r="O302" s="297">
        <f>+Ingresos!N293</f>
        <v>138.43</v>
      </c>
      <c r="P302" s="298">
        <f>SUM(D302:O302)</f>
        <v>1661.1600000000005</v>
      </c>
    </row>
    <row r="303" spans="2:16" x14ac:dyDescent="0.2">
      <c r="B303" s="726" t="s">
        <v>309</v>
      </c>
      <c r="C303" s="300" t="s">
        <v>45</v>
      </c>
      <c r="D303" s="278">
        <f>Ingresos!C296*0.65</f>
        <v>1867.3200000000002</v>
      </c>
      <c r="E303" s="301">
        <f>+D303</f>
        <v>1867.3200000000002</v>
      </c>
      <c r="F303" s="301">
        <f t="shared" ref="F303" si="563">+E303</f>
        <v>1867.3200000000002</v>
      </c>
      <c r="G303" s="301">
        <f t="shared" ref="G303" si="564">+F303</f>
        <v>1867.3200000000002</v>
      </c>
      <c r="H303" s="301">
        <f t="shared" ref="H303" si="565">+G303</f>
        <v>1867.3200000000002</v>
      </c>
      <c r="I303" s="301">
        <f t="shared" ref="I303" si="566">+H303</f>
        <v>1867.3200000000002</v>
      </c>
      <c r="J303" s="301">
        <f t="shared" ref="J303" si="567">+I303</f>
        <v>1867.3200000000002</v>
      </c>
      <c r="K303" s="301">
        <f t="shared" ref="K303" si="568">+J303</f>
        <v>1867.3200000000002</v>
      </c>
      <c r="L303" s="301">
        <f t="shared" ref="L303" si="569">+K303</f>
        <v>1867.3200000000002</v>
      </c>
      <c r="M303" s="301">
        <f t="shared" ref="M303" si="570">+L303</f>
        <v>1867.3200000000002</v>
      </c>
      <c r="N303" s="301">
        <f t="shared" ref="N303" si="571">+M303</f>
        <v>1867.3200000000002</v>
      </c>
      <c r="O303" s="301">
        <f t="shared" ref="O303" si="572">+N303</f>
        <v>1867.3200000000002</v>
      </c>
      <c r="P303" s="302">
        <f>+O303</f>
        <v>1867.3200000000002</v>
      </c>
    </row>
    <row r="304" spans="2:16" ht="15" x14ac:dyDescent="0.25">
      <c r="B304" s="727" t="s">
        <v>315</v>
      </c>
      <c r="C304" s="300" t="s">
        <v>45</v>
      </c>
      <c r="D304" s="304">
        <f>D302*D303</f>
        <v>258493.10760000005</v>
      </c>
      <c r="E304" s="304">
        <f t="shared" ref="E304:O304" si="573">E302*E303</f>
        <v>258493.10760000005</v>
      </c>
      <c r="F304" s="304">
        <f t="shared" si="573"/>
        <v>258493.10760000005</v>
      </c>
      <c r="G304" s="304">
        <f t="shared" si="573"/>
        <v>258493.10760000005</v>
      </c>
      <c r="H304" s="304">
        <f t="shared" si="573"/>
        <v>258493.10760000005</v>
      </c>
      <c r="I304" s="304">
        <f t="shared" si="573"/>
        <v>258493.10760000005</v>
      </c>
      <c r="J304" s="304">
        <f t="shared" si="573"/>
        <v>258493.10760000005</v>
      </c>
      <c r="K304" s="304">
        <f t="shared" si="573"/>
        <v>258493.10760000005</v>
      </c>
      <c r="L304" s="304">
        <f t="shared" si="573"/>
        <v>258493.10760000005</v>
      </c>
      <c r="M304" s="304">
        <f t="shared" si="573"/>
        <v>258493.10760000005</v>
      </c>
      <c r="N304" s="304">
        <f t="shared" si="573"/>
        <v>258493.10760000005</v>
      </c>
      <c r="O304" s="304">
        <f t="shared" si="573"/>
        <v>258493.10760000005</v>
      </c>
      <c r="P304" s="305">
        <f>SUM(D304:O304)</f>
        <v>3101917.2912000008</v>
      </c>
    </row>
    <row r="305" spans="2:16" x14ac:dyDescent="0.2">
      <c r="B305" s="726" t="s">
        <v>310</v>
      </c>
      <c r="C305" s="300" t="s">
        <v>45</v>
      </c>
      <c r="D305" s="278">
        <v>238.43</v>
      </c>
      <c r="E305" s="301">
        <f>+D305</f>
        <v>238.43</v>
      </c>
      <c r="F305" s="301">
        <f t="shared" ref="F305" si="574">+E305</f>
        <v>238.43</v>
      </c>
      <c r="G305" s="301">
        <f t="shared" ref="G305" si="575">+F305</f>
        <v>238.43</v>
      </c>
      <c r="H305" s="301">
        <f t="shared" ref="H305" si="576">+G305</f>
        <v>238.43</v>
      </c>
      <c r="I305" s="301">
        <f t="shared" ref="I305" si="577">+H305</f>
        <v>238.43</v>
      </c>
      <c r="J305" s="301">
        <f t="shared" ref="J305" si="578">+I305</f>
        <v>238.43</v>
      </c>
      <c r="K305" s="301">
        <f t="shared" ref="K305" si="579">+J305</f>
        <v>238.43</v>
      </c>
      <c r="L305" s="301">
        <f t="shared" ref="L305" si="580">+K305</f>
        <v>238.43</v>
      </c>
      <c r="M305" s="301">
        <f t="shared" ref="M305" si="581">+L305</f>
        <v>238.43</v>
      </c>
      <c r="N305" s="301">
        <f t="shared" ref="N305" si="582">+M305</f>
        <v>238.43</v>
      </c>
      <c r="O305" s="301">
        <f t="shared" ref="O305" si="583">+N305</f>
        <v>238.43</v>
      </c>
      <c r="P305" s="302">
        <f>+O305</f>
        <v>238.43</v>
      </c>
    </row>
    <row r="306" spans="2:16" ht="15" x14ac:dyDescent="0.25">
      <c r="B306" s="727" t="s">
        <v>315</v>
      </c>
      <c r="C306" s="300" t="s">
        <v>45</v>
      </c>
      <c r="D306" s="304">
        <f>D302*D305</f>
        <v>33005.8649</v>
      </c>
      <c r="E306" s="304">
        <f t="shared" ref="E306:O306" si="584">E302*E305</f>
        <v>33005.8649</v>
      </c>
      <c r="F306" s="304">
        <f t="shared" si="584"/>
        <v>33005.8649</v>
      </c>
      <c r="G306" s="304">
        <f t="shared" si="584"/>
        <v>33005.8649</v>
      </c>
      <c r="H306" s="304">
        <f t="shared" si="584"/>
        <v>33005.8649</v>
      </c>
      <c r="I306" s="304">
        <f t="shared" si="584"/>
        <v>33005.8649</v>
      </c>
      <c r="J306" s="304">
        <f t="shared" si="584"/>
        <v>33005.8649</v>
      </c>
      <c r="K306" s="304">
        <f t="shared" si="584"/>
        <v>33005.8649</v>
      </c>
      <c r="L306" s="304">
        <f t="shared" si="584"/>
        <v>33005.8649</v>
      </c>
      <c r="M306" s="304">
        <f t="shared" si="584"/>
        <v>33005.8649</v>
      </c>
      <c r="N306" s="304">
        <f t="shared" si="584"/>
        <v>33005.8649</v>
      </c>
      <c r="O306" s="304">
        <f t="shared" si="584"/>
        <v>33005.8649</v>
      </c>
      <c r="P306" s="305">
        <f>SUM(D306:O306)</f>
        <v>396070.37879999989</v>
      </c>
    </row>
    <row r="307" spans="2:16" x14ac:dyDescent="0.2">
      <c r="B307" s="726" t="s">
        <v>311</v>
      </c>
      <c r="C307" s="300" t="s">
        <v>45</v>
      </c>
      <c r="D307" s="278">
        <v>0</v>
      </c>
      <c r="E307" s="301">
        <f>+D307</f>
        <v>0</v>
      </c>
      <c r="F307" s="301">
        <f t="shared" ref="F307" si="585">+E307</f>
        <v>0</v>
      </c>
      <c r="G307" s="301">
        <f t="shared" ref="G307" si="586">+F307</f>
        <v>0</v>
      </c>
      <c r="H307" s="301">
        <f t="shared" ref="H307" si="587">+G307</f>
        <v>0</v>
      </c>
      <c r="I307" s="301">
        <f t="shared" ref="I307" si="588">+H307</f>
        <v>0</v>
      </c>
      <c r="J307" s="301">
        <f t="shared" ref="J307" si="589">+I307</f>
        <v>0</v>
      </c>
      <c r="K307" s="301">
        <f t="shared" ref="K307" si="590">+J307</f>
        <v>0</v>
      </c>
      <c r="L307" s="301">
        <f t="shared" ref="L307" si="591">+K307</f>
        <v>0</v>
      </c>
      <c r="M307" s="301">
        <f t="shared" ref="M307" si="592">+L307</f>
        <v>0</v>
      </c>
      <c r="N307" s="301">
        <f t="shared" ref="N307" si="593">+M307</f>
        <v>0</v>
      </c>
      <c r="O307" s="301">
        <f t="shared" ref="O307" si="594">+N307</f>
        <v>0</v>
      </c>
      <c r="P307" s="302">
        <f>+O307</f>
        <v>0</v>
      </c>
    </row>
    <row r="308" spans="2:16" ht="15" x14ac:dyDescent="0.25">
      <c r="B308" s="727" t="s">
        <v>315</v>
      </c>
      <c r="C308" s="300" t="s">
        <v>45</v>
      </c>
      <c r="D308" s="304">
        <f>D302*(D307)</f>
        <v>0</v>
      </c>
      <c r="E308" s="304">
        <f t="shared" ref="E308:O308" si="595">E302*(E307)</f>
        <v>0</v>
      </c>
      <c r="F308" s="304">
        <f t="shared" si="595"/>
        <v>0</v>
      </c>
      <c r="G308" s="304">
        <f t="shared" si="595"/>
        <v>0</v>
      </c>
      <c r="H308" s="304">
        <f t="shared" si="595"/>
        <v>0</v>
      </c>
      <c r="I308" s="304">
        <f t="shared" si="595"/>
        <v>0</v>
      </c>
      <c r="J308" s="304">
        <f t="shared" si="595"/>
        <v>0</v>
      </c>
      <c r="K308" s="304">
        <f t="shared" si="595"/>
        <v>0</v>
      </c>
      <c r="L308" s="304">
        <f t="shared" si="595"/>
        <v>0</v>
      </c>
      <c r="M308" s="304">
        <f t="shared" si="595"/>
        <v>0</v>
      </c>
      <c r="N308" s="304">
        <f t="shared" si="595"/>
        <v>0</v>
      </c>
      <c r="O308" s="304">
        <f t="shared" si="595"/>
        <v>0</v>
      </c>
      <c r="P308" s="305">
        <f>SUM(D308:O308)</f>
        <v>0</v>
      </c>
    </row>
    <row r="309" spans="2:16" ht="15" x14ac:dyDescent="0.25">
      <c r="B309" s="293" t="str">
        <f>+Ingresos!B300</f>
        <v>Mandarina Oneco</v>
      </c>
      <c r="C309" s="294"/>
      <c r="D309" s="295"/>
      <c r="E309" s="295"/>
      <c r="F309" s="295"/>
      <c r="G309" s="295"/>
      <c r="H309" s="295"/>
      <c r="I309" s="295"/>
      <c r="J309" s="295"/>
      <c r="K309" s="295"/>
      <c r="L309" s="295"/>
      <c r="M309" s="295"/>
      <c r="N309" s="295"/>
      <c r="O309" s="295"/>
      <c r="P309" s="295"/>
    </row>
    <row r="310" spans="2:16" x14ac:dyDescent="0.2">
      <c r="B310" s="726" t="s">
        <v>159</v>
      </c>
      <c r="C310" s="296" t="s">
        <v>372</v>
      </c>
      <c r="D310" s="297">
        <f>+Ingresos!C301</f>
        <v>71.14</v>
      </c>
      <c r="E310" s="297">
        <f>+Ingresos!D301</f>
        <v>71.14</v>
      </c>
      <c r="F310" s="297">
        <f>+Ingresos!E301</f>
        <v>71.14</v>
      </c>
      <c r="G310" s="297">
        <f>+Ingresos!F301</f>
        <v>71.14</v>
      </c>
      <c r="H310" s="297">
        <f>+Ingresos!G301</f>
        <v>71.14</v>
      </c>
      <c r="I310" s="297">
        <f>+Ingresos!H301</f>
        <v>71.14</v>
      </c>
      <c r="J310" s="297">
        <f>+Ingresos!I301</f>
        <v>71.14</v>
      </c>
      <c r="K310" s="297">
        <f>+Ingresos!J301</f>
        <v>71.14</v>
      </c>
      <c r="L310" s="297">
        <f>+Ingresos!K301</f>
        <v>71.14</v>
      </c>
      <c r="M310" s="297">
        <f>+Ingresos!L301</f>
        <v>71.14</v>
      </c>
      <c r="N310" s="297">
        <f>+Ingresos!M301</f>
        <v>71.14</v>
      </c>
      <c r="O310" s="297">
        <f>+Ingresos!N301</f>
        <v>71.14</v>
      </c>
      <c r="P310" s="298">
        <f>SUM(D310:O310)</f>
        <v>853.68</v>
      </c>
    </row>
    <row r="311" spans="2:16" x14ac:dyDescent="0.2">
      <c r="B311" s="726" t="s">
        <v>309</v>
      </c>
      <c r="C311" s="300" t="s">
        <v>45</v>
      </c>
      <c r="D311" s="278">
        <f>Ingresos!C304*0.65</f>
        <v>1755.9490000000001</v>
      </c>
      <c r="E311" s="301">
        <f>+D311</f>
        <v>1755.9490000000001</v>
      </c>
      <c r="F311" s="301">
        <f t="shared" ref="F311" si="596">+E311</f>
        <v>1755.9490000000001</v>
      </c>
      <c r="G311" s="301">
        <f t="shared" ref="G311" si="597">+F311</f>
        <v>1755.9490000000001</v>
      </c>
      <c r="H311" s="301">
        <f t="shared" ref="H311" si="598">+G311</f>
        <v>1755.9490000000001</v>
      </c>
      <c r="I311" s="301">
        <f t="shared" ref="I311" si="599">+H311</f>
        <v>1755.9490000000001</v>
      </c>
      <c r="J311" s="301">
        <f t="shared" ref="J311" si="600">+I311</f>
        <v>1755.9490000000001</v>
      </c>
      <c r="K311" s="301">
        <f t="shared" ref="K311" si="601">+J311</f>
        <v>1755.9490000000001</v>
      </c>
      <c r="L311" s="301">
        <f t="shared" ref="L311" si="602">+K311</f>
        <v>1755.9490000000001</v>
      </c>
      <c r="M311" s="301">
        <f t="shared" ref="M311" si="603">+L311</f>
        <v>1755.9490000000001</v>
      </c>
      <c r="N311" s="301">
        <f t="shared" ref="N311" si="604">+M311</f>
        <v>1755.9490000000001</v>
      </c>
      <c r="O311" s="301">
        <f t="shared" ref="O311" si="605">+N311</f>
        <v>1755.9490000000001</v>
      </c>
      <c r="P311" s="302">
        <f>+O311</f>
        <v>1755.9490000000001</v>
      </c>
    </row>
    <row r="312" spans="2:16" ht="15" x14ac:dyDescent="0.25">
      <c r="B312" s="727" t="s">
        <v>315</v>
      </c>
      <c r="C312" s="300" t="s">
        <v>45</v>
      </c>
      <c r="D312" s="304">
        <f>D310*D311</f>
        <v>124918.21186000001</v>
      </c>
      <c r="E312" s="304">
        <f t="shared" ref="E312:O312" si="606">E310*E311</f>
        <v>124918.21186000001</v>
      </c>
      <c r="F312" s="304">
        <f t="shared" si="606"/>
        <v>124918.21186000001</v>
      </c>
      <c r="G312" s="304">
        <f t="shared" si="606"/>
        <v>124918.21186000001</v>
      </c>
      <c r="H312" s="304">
        <f t="shared" si="606"/>
        <v>124918.21186000001</v>
      </c>
      <c r="I312" s="304">
        <f t="shared" si="606"/>
        <v>124918.21186000001</v>
      </c>
      <c r="J312" s="304">
        <f t="shared" si="606"/>
        <v>124918.21186000001</v>
      </c>
      <c r="K312" s="304">
        <f t="shared" si="606"/>
        <v>124918.21186000001</v>
      </c>
      <c r="L312" s="304">
        <f t="shared" si="606"/>
        <v>124918.21186000001</v>
      </c>
      <c r="M312" s="304">
        <f t="shared" si="606"/>
        <v>124918.21186000001</v>
      </c>
      <c r="N312" s="304">
        <f t="shared" si="606"/>
        <v>124918.21186000001</v>
      </c>
      <c r="O312" s="304">
        <f t="shared" si="606"/>
        <v>124918.21186000001</v>
      </c>
      <c r="P312" s="305">
        <f>SUM(D312:O312)</f>
        <v>1499018.54232</v>
      </c>
    </row>
    <row r="313" spans="2:16" x14ac:dyDescent="0.2">
      <c r="B313" s="726" t="s">
        <v>310</v>
      </c>
      <c r="C313" s="300" t="s">
        <v>45</v>
      </c>
      <c r="D313" s="278">
        <v>219.33</v>
      </c>
      <c r="E313" s="301">
        <f>+D313</f>
        <v>219.33</v>
      </c>
      <c r="F313" s="301">
        <f t="shared" ref="F313" si="607">+E313</f>
        <v>219.33</v>
      </c>
      <c r="G313" s="301">
        <f t="shared" ref="G313" si="608">+F313</f>
        <v>219.33</v>
      </c>
      <c r="H313" s="301">
        <f t="shared" ref="H313" si="609">+G313</f>
        <v>219.33</v>
      </c>
      <c r="I313" s="301">
        <f t="shared" ref="I313" si="610">+H313</f>
        <v>219.33</v>
      </c>
      <c r="J313" s="301">
        <f t="shared" ref="J313" si="611">+I313</f>
        <v>219.33</v>
      </c>
      <c r="K313" s="301">
        <f t="shared" ref="K313" si="612">+J313</f>
        <v>219.33</v>
      </c>
      <c r="L313" s="301">
        <f t="shared" ref="L313" si="613">+K313</f>
        <v>219.33</v>
      </c>
      <c r="M313" s="301">
        <f t="shared" ref="M313" si="614">+L313</f>
        <v>219.33</v>
      </c>
      <c r="N313" s="301">
        <f t="shared" ref="N313" si="615">+M313</f>
        <v>219.33</v>
      </c>
      <c r="O313" s="301">
        <f t="shared" ref="O313" si="616">+N313</f>
        <v>219.33</v>
      </c>
      <c r="P313" s="302">
        <f>+O313</f>
        <v>219.33</v>
      </c>
    </row>
    <row r="314" spans="2:16" ht="15" x14ac:dyDescent="0.25">
      <c r="B314" s="727" t="s">
        <v>315</v>
      </c>
      <c r="C314" s="300" t="s">
        <v>45</v>
      </c>
      <c r="D314" s="304">
        <f>D310*D313</f>
        <v>15603.136200000001</v>
      </c>
      <c r="E314" s="304">
        <f t="shared" ref="E314:O314" si="617">E310*E313</f>
        <v>15603.136200000001</v>
      </c>
      <c r="F314" s="304">
        <f t="shared" si="617"/>
        <v>15603.136200000001</v>
      </c>
      <c r="G314" s="304">
        <f t="shared" si="617"/>
        <v>15603.136200000001</v>
      </c>
      <c r="H314" s="304">
        <f t="shared" si="617"/>
        <v>15603.136200000001</v>
      </c>
      <c r="I314" s="304">
        <f t="shared" si="617"/>
        <v>15603.136200000001</v>
      </c>
      <c r="J314" s="304">
        <f t="shared" si="617"/>
        <v>15603.136200000001</v>
      </c>
      <c r="K314" s="304">
        <f t="shared" si="617"/>
        <v>15603.136200000001</v>
      </c>
      <c r="L314" s="304">
        <f t="shared" si="617"/>
        <v>15603.136200000001</v>
      </c>
      <c r="M314" s="304">
        <f t="shared" si="617"/>
        <v>15603.136200000001</v>
      </c>
      <c r="N314" s="304">
        <f t="shared" si="617"/>
        <v>15603.136200000001</v>
      </c>
      <c r="O314" s="304">
        <f t="shared" si="617"/>
        <v>15603.136200000001</v>
      </c>
      <c r="P314" s="305">
        <f>SUM(D314:O314)</f>
        <v>187237.63440000007</v>
      </c>
    </row>
    <row r="315" spans="2:16" x14ac:dyDescent="0.2">
      <c r="B315" s="726" t="s">
        <v>311</v>
      </c>
      <c r="C315" s="300" t="s">
        <v>45</v>
      </c>
      <c r="D315" s="278"/>
      <c r="E315" s="301">
        <f>+D315</f>
        <v>0</v>
      </c>
      <c r="F315" s="301">
        <f t="shared" ref="F315" si="618">+E315</f>
        <v>0</v>
      </c>
      <c r="G315" s="301">
        <f t="shared" ref="G315" si="619">+F315</f>
        <v>0</v>
      </c>
      <c r="H315" s="301">
        <f t="shared" ref="H315" si="620">+G315</f>
        <v>0</v>
      </c>
      <c r="I315" s="301">
        <f t="shared" ref="I315" si="621">+H315</f>
        <v>0</v>
      </c>
      <c r="J315" s="301">
        <f t="shared" ref="J315" si="622">+I315</f>
        <v>0</v>
      </c>
      <c r="K315" s="301">
        <f t="shared" ref="K315" si="623">+J315</f>
        <v>0</v>
      </c>
      <c r="L315" s="301">
        <f t="shared" ref="L315" si="624">+K315</f>
        <v>0</v>
      </c>
      <c r="M315" s="301">
        <f t="shared" ref="M315" si="625">+L315</f>
        <v>0</v>
      </c>
      <c r="N315" s="301">
        <f t="shared" ref="N315" si="626">+M315</f>
        <v>0</v>
      </c>
      <c r="O315" s="301">
        <f t="shared" ref="O315" si="627">+N315</f>
        <v>0</v>
      </c>
      <c r="P315" s="302">
        <f>+O315</f>
        <v>0</v>
      </c>
    </row>
    <row r="316" spans="2:16" ht="15" x14ac:dyDescent="0.25">
      <c r="B316" s="727" t="s">
        <v>315</v>
      </c>
      <c r="C316" s="300" t="s">
        <v>45</v>
      </c>
      <c r="D316" s="304">
        <f>D310*(D315)</f>
        <v>0</v>
      </c>
      <c r="E316" s="304">
        <f t="shared" ref="E316:O316" si="628">E310*(E315)</f>
        <v>0</v>
      </c>
      <c r="F316" s="304">
        <f t="shared" si="628"/>
        <v>0</v>
      </c>
      <c r="G316" s="304">
        <f t="shared" si="628"/>
        <v>0</v>
      </c>
      <c r="H316" s="304">
        <f t="shared" si="628"/>
        <v>0</v>
      </c>
      <c r="I316" s="304">
        <f t="shared" si="628"/>
        <v>0</v>
      </c>
      <c r="J316" s="304">
        <f t="shared" si="628"/>
        <v>0</v>
      </c>
      <c r="K316" s="304">
        <f t="shared" si="628"/>
        <v>0</v>
      </c>
      <c r="L316" s="304">
        <f t="shared" si="628"/>
        <v>0</v>
      </c>
      <c r="M316" s="304">
        <f t="shared" si="628"/>
        <v>0</v>
      </c>
      <c r="N316" s="304">
        <f t="shared" si="628"/>
        <v>0</v>
      </c>
      <c r="O316" s="304">
        <f t="shared" si="628"/>
        <v>0</v>
      </c>
      <c r="P316" s="305">
        <f>SUM(D316:O316)</f>
        <v>0</v>
      </c>
    </row>
    <row r="317" spans="2:16" ht="15" x14ac:dyDescent="0.25">
      <c r="B317" s="293" t="str">
        <f>+Ingresos!B308</f>
        <v>Mango Tommy</v>
      </c>
      <c r="C317" s="294"/>
      <c r="D317" s="295"/>
      <c r="E317" s="295"/>
      <c r="F317" s="295"/>
      <c r="G317" s="295"/>
      <c r="H317" s="295"/>
      <c r="I317" s="295"/>
      <c r="J317" s="295"/>
      <c r="K317" s="295"/>
      <c r="L317" s="295"/>
      <c r="M317" s="295"/>
      <c r="N317" s="295"/>
      <c r="O317" s="295"/>
      <c r="P317" s="295"/>
    </row>
    <row r="318" spans="2:16" x14ac:dyDescent="0.2">
      <c r="B318" s="726" t="s">
        <v>159</v>
      </c>
      <c r="C318" s="296" t="s">
        <v>372</v>
      </c>
      <c r="D318" s="297">
        <f>+Ingresos!C309</f>
        <v>135.51</v>
      </c>
      <c r="E318" s="297">
        <f>+Ingresos!D309</f>
        <v>135.51</v>
      </c>
      <c r="F318" s="297">
        <f>+Ingresos!E309</f>
        <v>135.51</v>
      </c>
      <c r="G318" s="297">
        <f>+Ingresos!F309</f>
        <v>135.51</v>
      </c>
      <c r="H318" s="297">
        <f>+Ingresos!G309</f>
        <v>135.51</v>
      </c>
      <c r="I318" s="297">
        <f>+Ingresos!H309</f>
        <v>135.51</v>
      </c>
      <c r="J318" s="297">
        <f>+Ingresos!I309</f>
        <v>135.51</v>
      </c>
      <c r="K318" s="297">
        <f>+Ingresos!J309</f>
        <v>135.51</v>
      </c>
      <c r="L318" s="297">
        <f>+Ingresos!K309</f>
        <v>135.51</v>
      </c>
      <c r="M318" s="297">
        <f>+Ingresos!L309</f>
        <v>135.51</v>
      </c>
      <c r="N318" s="297">
        <f>+Ingresos!M309</f>
        <v>135.51</v>
      </c>
      <c r="O318" s="297">
        <f>+Ingresos!N309</f>
        <v>135.51</v>
      </c>
      <c r="P318" s="298">
        <f>SUM(D318:O318)</f>
        <v>1626.12</v>
      </c>
    </row>
    <row r="319" spans="2:16" x14ac:dyDescent="0.2">
      <c r="B319" s="726" t="s">
        <v>309</v>
      </c>
      <c r="C319" s="300" t="s">
        <v>45</v>
      </c>
      <c r="D319" s="278">
        <f>Ingresos!C312*0.65</f>
        <v>1778.6210000000001</v>
      </c>
      <c r="E319" s="301">
        <f>+D319</f>
        <v>1778.6210000000001</v>
      </c>
      <c r="F319" s="301">
        <f t="shared" ref="F319" si="629">+E319</f>
        <v>1778.6210000000001</v>
      </c>
      <c r="G319" s="301">
        <f t="shared" ref="G319" si="630">+F319</f>
        <v>1778.6210000000001</v>
      </c>
      <c r="H319" s="301">
        <f t="shared" ref="H319" si="631">+G319</f>
        <v>1778.6210000000001</v>
      </c>
      <c r="I319" s="301">
        <f t="shared" ref="I319" si="632">+H319</f>
        <v>1778.6210000000001</v>
      </c>
      <c r="J319" s="301">
        <f t="shared" ref="J319" si="633">+I319</f>
        <v>1778.6210000000001</v>
      </c>
      <c r="K319" s="301">
        <f t="shared" ref="K319" si="634">+J319</f>
        <v>1778.6210000000001</v>
      </c>
      <c r="L319" s="301">
        <f t="shared" ref="L319" si="635">+K319</f>
        <v>1778.6210000000001</v>
      </c>
      <c r="M319" s="301">
        <f t="shared" ref="M319" si="636">+L319</f>
        <v>1778.6210000000001</v>
      </c>
      <c r="N319" s="301">
        <f t="shared" ref="N319" si="637">+M319</f>
        <v>1778.6210000000001</v>
      </c>
      <c r="O319" s="301">
        <f t="shared" ref="O319" si="638">+N319</f>
        <v>1778.6210000000001</v>
      </c>
      <c r="P319" s="302">
        <f>+O319</f>
        <v>1778.6210000000001</v>
      </c>
    </row>
    <row r="320" spans="2:16" ht="15" x14ac:dyDescent="0.25">
      <c r="B320" s="727" t="s">
        <v>315</v>
      </c>
      <c r="C320" s="300" t="s">
        <v>45</v>
      </c>
      <c r="D320" s="304">
        <f>D318*D319</f>
        <v>241020.93171</v>
      </c>
      <c r="E320" s="304">
        <f t="shared" ref="E320:O320" si="639">E318*E319</f>
        <v>241020.93171</v>
      </c>
      <c r="F320" s="304">
        <f t="shared" si="639"/>
        <v>241020.93171</v>
      </c>
      <c r="G320" s="304">
        <f t="shared" si="639"/>
        <v>241020.93171</v>
      </c>
      <c r="H320" s="304">
        <f t="shared" si="639"/>
        <v>241020.93171</v>
      </c>
      <c r="I320" s="304">
        <f t="shared" si="639"/>
        <v>241020.93171</v>
      </c>
      <c r="J320" s="304">
        <f t="shared" si="639"/>
        <v>241020.93171</v>
      </c>
      <c r="K320" s="304">
        <f t="shared" si="639"/>
        <v>241020.93171</v>
      </c>
      <c r="L320" s="304">
        <f t="shared" si="639"/>
        <v>241020.93171</v>
      </c>
      <c r="M320" s="304">
        <f t="shared" si="639"/>
        <v>241020.93171</v>
      </c>
      <c r="N320" s="304">
        <f t="shared" si="639"/>
        <v>241020.93171</v>
      </c>
      <c r="O320" s="304">
        <f t="shared" si="639"/>
        <v>241020.93171</v>
      </c>
      <c r="P320" s="305">
        <f>SUM(D320:O320)</f>
        <v>2892251.1805200004</v>
      </c>
    </row>
    <row r="321" spans="2:16" x14ac:dyDescent="0.2">
      <c r="B321" s="726" t="s">
        <v>310</v>
      </c>
      <c r="C321" s="300" t="s">
        <v>45</v>
      </c>
      <c r="D321" s="278">
        <v>223</v>
      </c>
      <c r="E321" s="301">
        <f>+D321</f>
        <v>223</v>
      </c>
      <c r="F321" s="301">
        <f t="shared" ref="F321" si="640">+E321</f>
        <v>223</v>
      </c>
      <c r="G321" s="301">
        <f t="shared" ref="G321" si="641">+F321</f>
        <v>223</v>
      </c>
      <c r="H321" s="301">
        <f t="shared" ref="H321" si="642">+G321</f>
        <v>223</v>
      </c>
      <c r="I321" s="301">
        <f t="shared" ref="I321" si="643">+H321</f>
        <v>223</v>
      </c>
      <c r="J321" s="301">
        <f t="shared" ref="J321" si="644">+I321</f>
        <v>223</v>
      </c>
      <c r="K321" s="301">
        <f t="shared" ref="K321" si="645">+J321</f>
        <v>223</v>
      </c>
      <c r="L321" s="301">
        <f t="shared" ref="L321" si="646">+K321</f>
        <v>223</v>
      </c>
      <c r="M321" s="301">
        <f t="shared" ref="M321" si="647">+L321</f>
        <v>223</v>
      </c>
      <c r="N321" s="301">
        <f t="shared" ref="N321" si="648">+M321</f>
        <v>223</v>
      </c>
      <c r="O321" s="301">
        <f t="shared" ref="O321" si="649">+N321</f>
        <v>223</v>
      </c>
      <c r="P321" s="302">
        <f>+O321</f>
        <v>223</v>
      </c>
    </row>
    <row r="322" spans="2:16" ht="15" x14ac:dyDescent="0.25">
      <c r="B322" s="727" t="s">
        <v>315</v>
      </c>
      <c r="C322" s="300" t="s">
        <v>45</v>
      </c>
      <c r="D322" s="304">
        <f>D318*D321</f>
        <v>30218.73</v>
      </c>
      <c r="E322" s="304">
        <f t="shared" ref="E322:O322" si="650">E318*E321</f>
        <v>30218.73</v>
      </c>
      <c r="F322" s="304">
        <f t="shared" si="650"/>
        <v>30218.73</v>
      </c>
      <c r="G322" s="304">
        <f t="shared" si="650"/>
        <v>30218.73</v>
      </c>
      <c r="H322" s="304">
        <f t="shared" si="650"/>
        <v>30218.73</v>
      </c>
      <c r="I322" s="304">
        <f t="shared" si="650"/>
        <v>30218.73</v>
      </c>
      <c r="J322" s="304">
        <f t="shared" si="650"/>
        <v>30218.73</v>
      </c>
      <c r="K322" s="304">
        <f t="shared" si="650"/>
        <v>30218.73</v>
      </c>
      <c r="L322" s="304">
        <f t="shared" si="650"/>
        <v>30218.73</v>
      </c>
      <c r="M322" s="304">
        <f t="shared" si="650"/>
        <v>30218.73</v>
      </c>
      <c r="N322" s="304">
        <f t="shared" si="650"/>
        <v>30218.73</v>
      </c>
      <c r="O322" s="304">
        <f t="shared" si="650"/>
        <v>30218.73</v>
      </c>
      <c r="P322" s="305">
        <f>SUM(D322:O322)</f>
        <v>362624.75999999995</v>
      </c>
    </row>
    <row r="323" spans="2:16" x14ac:dyDescent="0.2">
      <c r="B323" s="726" t="s">
        <v>311</v>
      </c>
      <c r="C323" s="300" t="s">
        <v>45</v>
      </c>
      <c r="D323" s="278"/>
      <c r="E323" s="301">
        <f>+D323</f>
        <v>0</v>
      </c>
      <c r="F323" s="301">
        <f t="shared" ref="F323" si="651">+E323</f>
        <v>0</v>
      </c>
      <c r="G323" s="301">
        <f t="shared" ref="G323" si="652">+F323</f>
        <v>0</v>
      </c>
      <c r="H323" s="301">
        <f t="shared" ref="H323" si="653">+G323</f>
        <v>0</v>
      </c>
      <c r="I323" s="301">
        <f t="shared" ref="I323" si="654">+H323</f>
        <v>0</v>
      </c>
      <c r="J323" s="301">
        <f t="shared" ref="J323" si="655">+I323</f>
        <v>0</v>
      </c>
      <c r="K323" s="301">
        <f t="shared" ref="K323" si="656">+J323</f>
        <v>0</v>
      </c>
      <c r="L323" s="301">
        <f t="shared" ref="L323" si="657">+K323</f>
        <v>0</v>
      </c>
      <c r="M323" s="301">
        <f t="shared" ref="M323" si="658">+L323</f>
        <v>0</v>
      </c>
      <c r="N323" s="301">
        <f t="shared" ref="N323" si="659">+M323</f>
        <v>0</v>
      </c>
      <c r="O323" s="301">
        <f t="shared" ref="O323" si="660">+N323</f>
        <v>0</v>
      </c>
      <c r="P323" s="302">
        <f>+O323</f>
        <v>0</v>
      </c>
    </row>
    <row r="324" spans="2:16" ht="15" x14ac:dyDescent="0.25">
      <c r="B324" s="727" t="s">
        <v>315</v>
      </c>
      <c r="C324" s="300" t="s">
        <v>45</v>
      </c>
      <c r="D324" s="304">
        <f>D318*(D323)</f>
        <v>0</v>
      </c>
      <c r="E324" s="304">
        <f t="shared" ref="E324:O324" si="661">E318*(E323)</f>
        <v>0</v>
      </c>
      <c r="F324" s="304">
        <f t="shared" si="661"/>
        <v>0</v>
      </c>
      <c r="G324" s="304">
        <f t="shared" si="661"/>
        <v>0</v>
      </c>
      <c r="H324" s="304">
        <f t="shared" si="661"/>
        <v>0</v>
      </c>
      <c r="I324" s="304">
        <f t="shared" si="661"/>
        <v>0</v>
      </c>
      <c r="J324" s="304">
        <f t="shared" si="661"/>
        <v>0</v>
      </c>
      <c r="K324" s="304">
        <f t="shared" si="661"/>
        <v>0</v>
      </c>
      <c r="L324" s="304">
        <f t="shared" si="661"/>
        <v>0</v>
      </c>
      <c r="M324" s="304">
        <f t="shared" si="661"/>
        <v>0</v>
      </c>
      <c r="N324" s="304">
        <f t="shared" si="661"/>
        <v>0</v>
      </c>
      <c r="O324" s="304">
        <f t="shared" si="661"/>
        <v>0</v>
      </c>
      <c r="P324" s="305">
        <f>SUM(D324:O324)</f>
        <v>0</v>
      </c>
    </row>
    <row r="325" spans="2:16" ht="15" x14ac:dyDescent="0.25">
      <c r="B325" s="293" t="str">
        <f>+Ingresos!B316</f>
        <v>Maracuyá Regional</v>
      </c>
      <c r="C325" s="294"/>
      <c r="D325" s="295"/>
      <c r="E325" s="295"/>
      <c r="F325" s="295"/>
      <c r="G325" s="295"/>
      <c r="H325" s="295"/>
      <c r="I325" s="295"/>
      <c r="J325" s="295"/>
      <c r="K325" s="295"/>
      <c r="L325" s="295"/>
      <c r="M325" s="295"/>
      <c r="N325" s="295"/>
      <c r="O325" s="295"/>
      <c r="P325" s="295"/>
    </row>
    <row r="326" spans="2:16" x14ac:dyDescent="0.2">
      <c r="B326" s="726" t="s">
        <v>159</v>
      </c>
      <c r="C326" s="296" t="s">
        <v>372</v>
      </c>
      <c r="D326" s="297">
        <f>+Ingresos!C317</f>
        <v>223.59</v>
      </c>
      <c r="E326" s="297">
        <f>+Ingresos!D317</f>
        <v>223.59</v>
      </c>
      <c r="F326" s="297">
        <f>+Ingresos!E317</f>
        <v>223.59</v>
      </c>
      <c r="G326" s="297">
        <f>+Ingresos!F317</f>
        <v>223.59</v>
      </c>
      <c r="H326" s="297">
        <f>+Ingresos!G317</f>
        <v>223.59</v>
      </c>
      <c r="I326" s="297">
        <f>+Ingresos!H317</f>
        <v>223.59</v>
      </c>
      <c r="J326" s="297">
        <f>+Ingresos!I317</f>
        <v>223.59</v>
      </c>
      <c r="K326" s="297">
        <f>+Ingresos!J317</f>
        <v>223.59</v>
      </c>
      <c r="L326" s="297">
        <f>+Ingresos!K317</f>
        <v>223.59</v>
      </c>
      <c r="M326" s="297">
        <f>+Ingresos!L317</f>
        <v>223.59</v>
      </c>
      <c r="N326" s="297">
        <f>+Ingresos!M317</f>
        <v>223.59</v>
      </c>
      <c r="O326" s="297">
        <f>+Ingresos!N317</f>
        <v>223.59</v>
      </c>
      <c r="P326" s="298">
        <f>SUM(D326:O326)</f>
        <v>2683.08</v>
      </c>
    </row>
    <row r="327" spans="2:16" x14ac:dyDescent="0.2">
      <c r="B327" s="726" t="s">
        <v>309</v>
      </c>
      <c r="C327" s="300" t="s">
        <v>45</v>
      </c>
      <c r="D327" s="278">
        <f>Ingresos!C320*0.65</f>
        <v>1333.8</v>
      </c>
      <c r="E327" s="301">
        <f>+D327</f>
        <v>1333.8</v>
      </c>
      <c r="F327" s="301">
        <f t="shared" ref="F327" si="662">+E327</f>
        <v>1333.8</v>
      </c>
      <c r="G327" s="301">
        <f t="shared" ref="G327" si="663">+F327</f>
        <v>1333.8</v>
      </c>
      <c r="H327" s="301">
        <f t="shared" ref="H327" si="664">+G327</f>
        <v>1333.8</v>
      </c>
      <c r="I327" s="301">
        <f t="shared" ref="I327" si="665">+H327</f>
        <v>1333.8</v>
      </c>
      <c r="J327" s="301">
        <f t="shared" ref="J327" si="666">+I327</f>
        <v>1333.8</v>
      </c>
      <c r="K327" s="301">
        <f t="shared" ref="K327" si="667">+J327</f>
        <v>1333.8</v>
      </c>
      <c r="L327" s="301">
        <f t="shared" ref="L327" si="668">+K327</f>
        <v>1333.8</v>
      </c>
      <c r="M327" s="301">
        <f t="shared" ref="M327" si="669">+L327</f>
        <v>1333.8</v>
      </c>
      <c r="N327" s="301">
        <f t="shared" ref="N327" si="670">+M327</f>
        <v>1333.8</v>
      </c>
      <c r="O327" s="301">
        <f t="shared" ref="O327" si="671">+N327</f>
        <v>1333.8</v>
      </c>
      <c r="P327" s="302">
        <f>+O327</f>
        <v>1333.8</v>
      </c>
    </row>
    <row r="328" spans="2:16" ht="15" x14ac:dyDescent="0.25">
      <c r="B328" s="727" t="s">
        <v>315</v>
      </c>
      <c r="C328" s="300" t="s">
        <v>45</v>
      </c>
      <c r="D328" s="304">
        <f>D326*D327</f>
        <v>298224.342</v>
      </c>
      <c r="E328" s="304">
        <f t="shared" ref="E328:O328" si="672">E326*E327</f>
        <v>298224.342</v>
      </c>
      <c r="F328" s="304">
        <f t="shared" si="672"/>
        <v>298224.342</v>
      </c>
      <c r="G328" s="304">
        <f t="shared" si="672"/>
        <v>298224.342</v>
      </c>
      <c r="H328" s="304">
        <f t="shared" si="672"/>
        <v>298224.342</v>
      </c>
      <c r="I328" s="304">
        <f t="shared" si="672"/>
        <v>298224.342</v>
      </c>
      <c r="J328" s="304">
        <f t="shared" si="672"/>
        <v>298224.342</v>
      </c>
      <c r="K328" s="304">
        <f t="shared" si="672"/>
        <v>298224.342</v>
      </c>
      <c r="L328" s="304">
        <f t="shared" si="672"/>
        <v>298224.342</v>
      </c>
      <c r="M328" s="304">
        <f t="shared" si="672"/>
        <v>298224.342</v>
      </c>
      <c r="N328" s="304">
        <f t="shared" si="672"/>
        <v>298224.342</v>
      </c>
      <c r="O328" s="304">
        <f t="shared" si="672"/>
        <v>298224.342</v>
      </c>
      <c r="P328" s="305">
        <f>SUM(D328:O328)</f>
        <v>3578692.1040000007</v>
      </c>
    </row>
    <row r="329" spans="2:16" x14ac:dyDescent="0.2">
      <c r="B329" s="726" t="s">
        <v>310</v>
      </c>
      <c r="C329" s="300" t="s">
        <v>45</v>
      </c>
      <c r="D329" s="278">
        <v>147.16</v>
      </c>
      <c r="E329" s="301">
        <f>+D329</f>
        <v>147.16</v>
      </c>
      <c r="F329" s="301">
        <f t="shared" ref="F329" si="673">+E329</f>
        <v>147.16</v>
      </c>
      <c r="G329" s="301">
        <f t="shared" ref="G329" si="674">+F329</f>
        <v>147.16</v>
      </c>
      <c r="H329" s="301">
        <f t="shared" ref="H329" si="675">+G329</f>
        <v>147.16</v>
      </c>
      <c r="I329" s="301">
        <f t="shared" ref="I329" si="676">+H329</f>
        <v>147.16</v>
      </c>
      <c r="J329" s="301">
        <f t="shared" ref="J329" si="677">+I329</f>
        <v>147.16</v>
      </c>
      <c r="K329" s="301">
        <f t="shared" ref="K329" si="678">+J329</f>
        <v>147.16</v>
      </c>
      <c r="L329" s="301">
        <f t="shared" ref="L329" si="679">+K329</f>
        <v>147.16</v>
      </c>
      <c r="M329" s="301">
        <f t="shared" ref="M329" si="680">+L329</f>
        <v>147.16</v>
      </c>
      <c r="N329" s="301">
        <f t="shared" ref="N329" si="681">+M329</f>
        <v>147.16</v>
      </c>
      <c r="O329" s="301">
        <f t="shared" ref="O329" si="682">+N329</f>
        <v>147.16</v>
      </c>
      <c r="P329" s="302">
        <f>+O329</f>
        <v>147.16</v>
      </c>
    </row>
    <row r="330" spans="2:16" ht="15" x14ac:dyDescent="0.25">
      <c r="B330" s="727" t="s">
        <v>315</v>
      </c>
      <c r="C330" s="300" t="s">
        <v>45</v>
      </c>
      <c r="D330" s="304">
        <f>D326*D329</f>
        <v>32903.504399999998</v>
      </c>
      <c r="E330" s="304">
        <f t="shared" ref="E330:O330" si="683">E326*E329</f>
        <v>32903.504399999998</v>
      </c>
      <c r="F330" s="304">
        <f t="shared" si="683"/>
        <v>32903.504399999998</v>
      </c>
      <c r="G330" s="304">
        <f t="shared" si="683"/>
        <v>32903.504399999998</v>
      </c>
      <c r="H330" s="304">
        <f t="shared" si="683"/>
        <v>32903.504399999998</v>
      </c>
      <c r="I330" s="304">
        <f t="shared" si="683"/>
        <v>32903.504399999998</v>
      </c>
      <c r="J330" s="304">
        <f t="shared" si="683"/>
        <v>32903.504399999998</v>
      </c>
      <c r="K330" s="304">
        <f t="shared" si="683"/>
        <v>32903.504399999998</v>
      </c>
      <c r="L330" s="304">
        <f t="shared" si="683"/>
        <v>32903.504399999998</v>
      </c>
      <c r="M330" s="304">
        <f t="shared" si="683"/>
        <v>32903.504399999998</v>
      </c>
      <c r="N330" s="304">
        <f t="shared" si="683"/>
        <v>32903.504399999998</v>
      </c>
      <c r="O330" s="304">
        <f t="shared" si="683"/>
        <v>32903.504399999998</v>
      </c>
      <c r="P330" s="305">
        <f>SUM(D330:O330)</f>
        <v>394842.05279999989</v>
      </c>
    </row>
    <row r="331" spans="2:16" x14ac:dyDescent="0.2">
      <c r="B331" s="726" t="s">
        <v>311</v>
      </c>
      <c r="C331" s="300" t="s">
        <v>45</v>
      </c>
      <c r="D331" s="278">
        <v>0</v>
      </c>
      <c r="E331" s="301">
        <f>+D331</f>
        <v>0</v>
      </c>
      <c r="F331" s="301">
        <f t="shared" ref="F331" si="684">+E331</f>
        <v>0</v>
      </c>
      <c r="G331" s="301">
        <f t="shared" ref="G331" si="685">+F331</f>
        <v>0</v>
      </c>
      <c r="H331" s="301">
        <f t="shared" ref="H331" si="686">+G331</f>
        <v>0</v>
      </c>
      <c r="I331" s="301">
        <f t="shared" ref="I331" si="687">+H331</f>
        <v>0</v>
      </c>
      <c r="J331" s="301">
        <f t="shared" ref="J331" si="688">+I331</f>
        <v>0</v>
      </c>
      <c r="K331" s="301">
        <f t="shared" ref="K331" si="689">+J331</f>
        <v>0</v>
      </c>
      <c r="L331" s="301">
        <f t="shared" ref="L331" si="690">+K331</f>
        <v>0</v>
      </c>
      <c r="M331" s="301">
        <f t="shared" ref="M331" si="691">+L331</f>
        <v>0</v>
      </c>
      <c r="N331" s="301">
        <f t="shared" ref="N331" si="692">+M331</f>
        <v>0</v>
      </c>
      <c r="O331" s="301">
        <f t="shared" ref="O331" si="693">+N331</f>
        <v>0</v>
      </c>
      <c r="P331" s="302">
        <f>+O331</f>
        <v>0</v>
      </c>
    </row>
    <row r="332" spans="2:16" ht="15" x14ac:dyDescent="0.25">
      <c r="B332" s="727" t="s">
        <v>315</v>
      </c>
      <c r="C332" s="300" t="s">
        <v>45</v>
      </c>
      <c r="D332" s="304">
        <f>D326*(D331)</f>
        <v>0</v>
      </c>
      <c r="E332" s="304">
        <f t="shared" ref="E332:O332" si="694">E326*(E331)</f>
        <v>0</v>
      </c>
      <c r="F332" s="304">
        <f t="shared" si="694"/>
        <v>0</v>
      </c>
      <c r="G332" s="304">
        <f t="shared" si="694"/>
        <v>0</v>
      </c>
      <c r="H332" s="304">
        <f t="shared" si="694"/>
        <v>0</v>
      </c>
      <c r="I332" s="304">
        <f t="shared" si="694"/>
        <v>0</v>
      </c>
      <c r="J332" s="304">
        <f t="shared" si="694"/>
        <v>0</v>
      </c>
      <c r="K332" s="304">
        <f t="shared" si="694"/>
        <v>0</v>
      </c>
      <c r="L332" s="304">
        <f t="shared" si="694"/>
        <v>0</v>
      </c>
      <c r="M332" s="304">
        <f t="shared" si="694"/>
        <v>0</v>
      </c>
      <c r="N332" s="304">
        <f t="shared" si="694"/>
        <v>0</v>
      </c>
      <c r="O332" s="304">
        <f t="shared" si="694"/>
        <v>0</v>
      </c>
      <c r="P332" s="305">
        <f>SUM(D332:O332)</f>
        <v>0</v>
      </c>
    </row>
    <row r="333" spans="2:16" ht="15" x14ac:dyDescent="0.25">
      <c r="B333" s="293" t="str">
        <f>+Ingresos!B324</f>
        <v>Mora Castilla</v>
      </c>
      <c r="C333" s="294"/>
      <c r="D333" s="295"/>
      <c r="E333" s="295"/>
      <c r="F333" s="295"/>
      <c r="G333" s="295"/>
      <c r="H333" s="295"/>
      <c r="I333" s="295"/>
      <c r="J333" s="295"/>
      <c r="K333" s="295"/>
      <c r="L333" s="295"/>
      <c r="M333" s="295"/>
      <c r="N333" s="295"/>
      <c r="O333" s="295"/>
      <c r="P333" s="295"/>
    </row>
    <row r="334" spans="2:16" x14ac:dyDescent="0.2">
      <c r="B334" s="726" t="s">
        <v>159</v>
      </c>
      <c r="C334" s="296" t="s">
        <v>372</v>
      </c>
      <c r="D334" s="297">
        <f>+Ingresos!C325</f>
        <v>176.16</v>
      </c>
      <c r="E334" s="297">
        <f>+Ingresos!D325</f>
        <v>176.16</v>
      </c>
      <c r="F334" s="297">
        <f>+Ingresos!E325</f>
        <v>176.16</v>
      </c>
      <c r="G334" s="297">
        <f>+Ingresos!F325</f>
        <v>176.16</v>
      </c>
      <c r="H334" s="297">
        <f>+Ingresos!G325</f>
        <v>176.16</v>
      </c>
      <c r="I334" s="297">
        <f>+Ingresos!H325</f>
        <v>176.16</v>
      </c>
      <c r="J334" s="297">
        <f>+Ingresos!I325</f>
        <v>176.16</v>
      </c>
      <c r="K334" s="297">
        <f>+Ingresos!J325</f>
        <v>176.16</v>
      </c>
      <c r="L334" s="297">
        <f>+Ingresos!K325</f>
        <v>176.16</v>
      </c>
      <c r="M334" s="297">
        <f>+Ingresos!L325</f>
        <v>176.16</v>
      </c>
      <c r="N334" s="297">
        <f>+Ingresos!M325</f>
        <v>176.16</v>
      </c>
      <c r="O334" s="297">
        <f>+Ingresos!N325</f>
        <v>176.16</v>
      </c>
      <c r="P334" s="298">
        <f>SUM(D334:O334)</f>
        <v>2113.9200000000005</v>
      </c>
    </row>
    <row r="335" spans="2:16" x14ac:dyDescent="0.2">
      <c r="B335" s="726" t="s">
        <v>309</v>
      </c>
      <c r="C335" s="300" t="s">
        <v>45</v>
      </c>
      <c r="D335" s="278">
        <f>Ingresos!C328*0.65</f>
        <v>1445.171</v>
      </c>
      <c r="E335" s="301">
        <f>+D335</f>
        <v>1445.171</v>
      </c>
      <c r="F335" s="301">
        <f t="shared" ref="F335" si="695">+E335</f>
        <v>1445.171</v>
      </c>
      <c r="G335" s="301">
        <f t="shared" ref="G335" si="696">+F335</f>
        <v>1445.171</v>
      </c>
      <c r="H335" s="301">
        <f t="shared" ref="H335" si="697">+G335</f>
        <v>1445.171</v>
      </c>
      <c r="I335" s="301">
        <f t="shared" ref="I335" si="698">+H335</f>
        <v>1445.171</v>
      </c>
      <c r="J335" s="301">
        <f t="shared" ref="J335" si="699">+I335</f>
        <v>1445.171</v>
      </c>
      <c r="K335" s="301">
        <f t="shared" ref="K335" si="700">+J335</f>
        <v>1445.171</v>
      </c>
      <c r="L335" s="301">
        <f t="shared" ref="L335" si="701">+K335</f>
        <v>1445.171</v>
      </c>
      <c r="M335" s="301">
        <f t="shared" ref="M335" si="702">+L335</f>
        <v>1445.171</v>
      </c>
      <c r="N335" s="301">
        <f t="shared" ref="N335" si="703">+M335</f>
        <v>1445.171</v>
      </c>
      <c r="O335" s="301">
        <f t="shared" ref="O335" si="704">+N335</f>
        <v>1445.171</v>
      </c>
      <c r="P335" s="302">
        <f>+O335</f>
        <v>1445.171</v>
      </c>
    </row>
    <row r="336" spans="2:16" ht="15" x14ac:dyDescent="0.25">
      <c r="B336" s="727" t="s">
        <v>315</v>
      </c>
      <c r="C336" s="300" t="s">
        <v>45</v>
      </c>
      <c r="D336" s="304">
        <f>D334*D335</f>
        <v>254581.32336000001</v>
      </c>
      <c r="E336" s="304">
        <f t="shared" ref="E336:O336" si="705">E334*E335</f>
        <v>254581.32336000001</v>
      </c>
      <c r="F336" s="304">
        <f t="shared" si="705"/>
        <v>254581.32336000001</v>
      </c>
      <c r="G336" s="304">
        <f t="shared" si="705"/>
        <v>254581.32336000001</v>
      </c>
      <c r="H336" s="304">
        <f t="shared" si="705"/>
        <v>254581.32336000001</v>
      </c>
      <c r="I336" s="304">
        <f t="shared" si="705"/>
        <v>254581.32336000001</v>
      </c>
      <c r="J336" s="304">
        <f t="shared" si="705"/>
        <v>254581.32336000001</v>
      </c>
      <c r="K336" s="304">
        <f t="shared" si="705"/>
        <v>254581.32336000001</v>
      </c>
      <c r="L336" s="304">
        <f t="shared" si="705"/>
        <v>254581.32336000001</v>
      </c>
      <c r="M336" s="304">
        <f t="shared" si="705"/>
        <v>254581.32336000001</v>
      </c>
      <c r="N336" s="304">
        <f t="shared" si="705"/>
        <v>254581.32336000001</v>
      </c>
      <c r="O336" s="304">
        <f t="shared" si="705"/>
        <v>254581.32336000001</v>
      </c>
      <c r="P336" s="305">
        <f>SUM(D336:O336)</f>
        <v>3054975.8803199995</v>
      </c>
    </row>
    <row r="337" spans="2:16" x14ac:dyDescent="0.2">
      <c r="B337" s="726" t="s">
        <v>310</v>
      </c>
      <c r="C337" s="300" t="s">
        <v>45</v>
      </c>
      <c r="D337" s="278">
        <v>166.21</v>
      </c>
      <c r="E337" s="301">
        <f>+D337</f>
        <v>166.21</v>
      </c>
      <c r="F337" s="301">
        <f t="shared" ref="F337" si="706">+E337</f>
        <v>166.21</v>
      </c>
      <c r="G337" s="301">
        <f t="shared" ref="G337" si="707">+F337</f>
        <v>166.21</v>
      </c>
      <c r="H337" s="301">
        <f t="shared" ref="H337" si="708">+G337</f>
        <v>166.21</v>
      </c>
      <c r="I337" s="301">
        <f t="shared" ref="I337" si="709">+H337</f>
        <v>166.21</v>
      </c>
      <c r="J337" s="301">
        <f t="shared" ref="J337" si="710">+I337</f>
        <v>166.21</v>
      </c>
      <c r="K337" s="301">
        <f t="shared" ref="K337" si="711">+J337</f>
        <v>166.21</v>
      </c>
      <c r="L337" s="301">
        <f t="shared" ref="L337" si="712">+K337</f>
        <v>166.21</v>
      </c>
      <c r="M337" s="301">
        <f t="shared" ref="M337" si="713">+L337</f>
        <v>166.21</v>
      </c>
      <c r="N337" s="301">
        <f t="shared" ref="N337" si="714">+M337</f>
        <v>166.21</v>
      </c>
      <c r="O337" s="301">
        <f t="shared" ref="O337" si="715">+N337</f>
        <v>166.21</v>
      </c>
      <c r="P337" s="302">
        <f>+O337</f>
        <v>166.21</v>
      </c>
    </row>
    <row r="338" spans="2:16" ht="15" x14ac:dyDescent="0.25">
      <c r="B338" s="727" t="s">
        <v>315</v>
      </c>
      <c r="C338" s="300" t="s">
        <v>45</v>
      </c>
      <c r="D338" s="304">
        <f>D334*D337</f>
        <v>29279.553599999999</v>
      </c>
      <c r="E338" s="304">
        <f t="shared" ref="E338:O338" si="716">E334*E337</f>
        <v>29279.553599999999</v>
      </c>
      <c r="F338" s="304">
        <f t="shared" si="716"/>
        <v>29279.553599999999</v>
      </c>
      <c r="G338" s="304">
        <f t="shared" si="716"/>
        <v>29279.553599999999</v>
      </c>
      <c r="H338" s="304">
        <f t="shared" si="716"/>
        <v>29279.553599999999</v>
      </c>
      <c r="I338" s="304">
        <f t="shared" si="716"/>
        <v>29279.553599999999</v>
      </c>
      <c r="J338" s="304">
        <f t="shared" si="716"/>
        <v>29279.553599999999</v>
      </c>
      <c r="K338" s="304">
        <f t="shared" si="716"/>
        <v>29279.553599999999</v>
      </c>
      <c r="L338" s="304">
        <f t="shared" si="716"/>
        <v>29279.553599999999</v>
      </c>
      <c r="M338" s="304">
        <f t="shared" si="716"/>
        <v>29279.553599999999</v>
      </c>
      <c r="N338" s="304">
        <f t="shared" si="716"/>
        <v>29279.553599999999</v>
      </c>
      <c r="O338" s="304">
        <f t="shared" si="716"/>
        <v>29279.553599999999</v>
      </c>
      <c r="P338" s="305">
        <f>SUM(D338:O338)</f>
        <v>351354.64319999987</v>
      </c>
    </row>
    <row r="339" spans="2:16" x14ac:dyDescent="0.2">
      <c r="B339" s="726" t="s">
        <v>311</v>
      </c>
      <c r="C339" s="300" t="s">
        <v>45</v>
      </c>
      <c r="D339" s="278">
        <v>0</v>
      </c>
      <c r="E339" s="301">
        <f>+D339</f>
        <v>0</v>
      </c>
      <c r="F339" s="301">
        <f t="shared" ref="F339" si="717">+E339</f>
        <v>0</v>
      </c>
      <c r="G339" s="301">
        <f t="shared" ref="G339" si="718">+F339</f>
        <v>0</v>
      </c>
      <c r="H339" s="301">
        <f t="shared" ref="H339" si="719">+G339</f>
        <v>0</v>
      </c>
      <c r="I339" s="301">
        <f t="shared" ref="I339" si="720">+H339</f>
        <v>0</v>
      </c>
      <c r="J339" s="301">
        <f t="shared" ref="J339" si="721">+I339</f>
        <v>0</v>
      </c>
      <c r="K339" s="301">
        <f t="shared" ref="K339" si="722">+J339</f>
        <v>0</v>
      </c>
      <c r="L339" s="301">
        <f t="shared" ref="L339" si="723">+K339</f>
        <v>0</v>
      </c>
      <c r="M339" s="301">
        <f t="shared" ref="M339" si="724">+L339</f>
        <v>0</v>
      </c>
      <c r="N339" s="301">
        <f t="shared" ref="N339" si="725">+M339</f>
        <v>0</v>
      </c>
      <c r="O339" s="301">
        <f t="shared" ref="O339" si="726">+N339</f>
        <v>0</v>
      </c>
      <c r="P339" s="302">
        <f>+O339</f>
        <v>0</v>
      </c>
    </row>
    <row r="340" spans="2:16" ht="15" x14ac:dyDescent="0.25">
      <c r="B340" s="727" t="s">
        <v>315</v>
      </c>
      <c r="C340" s="300" t="s">
        <v>45</v>
      </c>
      <c r="D340" s="304">
        <f>D334*(D339)</f>
        <v>0</v>
      </c>
      <c r="E340" s="304">
        <f t="shared" ref="E340:O340" si="727">E334*(E339)</f>
        <v>0</v>
      </c>
      <c r="F340" s="304">
        <f t="shared" si="727"/>
        <v>0</v>
      </c>
      <c r="G340" s="304">
        <f t="shared" si="727"/>
        <v>0</v>
      </c>
      <c r="H340" s="304">
        <f t="shared" si="727"/>
        <v>0</v>
      </c>
      <c r="I340" s="304">
        <f t="shared" si="727"/>
        <v>0</v>
      </c>
      <c r="J340" s="304">
        <f t="shared" si="727"/>
        <v>0</v>
      </c>
      <c r="K340" s="304">
        <f t="shared" si="727"/>
        <v>0</v>
      </c>
      <c r="L340" s="304">
        <f t="shared" si="727"/>
        <v>0</v>
      </c>
      <c r="M340" s="304">
        <f t="shared" si="727"/>
        <v>0</v>
      </c>
      <c r="N340" s="304">
        <f t="shared" si="727"/>
        <v>0</v>
      </c>
      <c r="O340" s="304">
        <f t="shared" si="727"/>
        <v>0</v>
      </c>
      <c r="P340" s="305">
        <f>SUM(D340:O340)</f>
        <v>0</v>
      </c>
    </row>
    <row r="341" spans="2:16" ht="15" x14ac:dyDescent="0.25">
      <c r="B341" s="293" t="str">
        <f>+Ingresos!B332</f>
        <v>Naranja Tanjelo</v>
      </c>
      <c r="C341" s="294"/>
      <c r="D341" s="295"/>
      <c r="E341" s="295"/>
      <c r="F341" s="295"/>
      <c r="G341" s="295"/>
      <c r="H341" s="295"/>
      <c r="I341" s="295"/>
      <c r="J341" s="295"/>
      <c r="K341" s="295"/>
      <c r="L341" s="295"/>
      <c r="M341" s="295"/>
      <c r="N341" s="295"/>
      <c r="O341" s="295"/>
      <c r="P341" s="295"/>
    </row>
    <row r="342" spans="2:16" x14ac:dyDescent="0.2">
      <c r="B342" s="726" t="s">
        <v>159</v>
      </c>
      <c r="C342" s="296" t="s">
        <v>372</v>
      </c>
      <c r="D342" s="297">
        <f>+Ingresos!C333</f>
        <v>71.14</v>
      </c>
      <c r="E342" s="297">
        <f>+Ingresos!D333</f>
        <v>71.14</v>
      </c>
      <c r="F342" s="297">
        <f>+Ingresos!E333</f>
        <v>71.14</v>
      </c>
      <c r="G342" s="297">
        <f>+Ingresos!F333</f>
        <v>71.14</v>
      </c>
      <c r="H342" s="297">
        <f>+Ingresos!G333</f>
        <v>71.14</v>
      </c>
      <c r="I342" s="297">
        <f>+Ingresos!H333</f>
        <v>71.14</v>
      </c>
      <c r="J342" s="297">
        <f>+Ingresos!I333</f>
        <v>71.14</v>
      </c>
      <c r="K342" s="297">
        <f>+Ingresos!J333</f>
        <v>71.14</v>
      </c>
      <c r="L342" s="297">
        <f>+Ingresos!K333</f>
        <v>71.14</v>
      </c>
      <c r="M342" s="297">
        <f>+Ingresos!L333</f>
        <v>71.14</v>
      </c>
      <c r="N342" s="297">
        <f>+Ingresos!M333</f>
        <v>71.14</v>
      </c>
      <c r="O342" s="297">
        <f>+Ingresos!N333</f>
        <v>71.14</v>
      </c>
      <c r="P342" s="298">
        <f>SUM(D342:O342)</f>
        <v>853.68</v>
      </c>
    </row>
    <row r="343" spans="2:16" x14ac:dyDescent="0.2">
      <c r="B343" s="726" t="s">
        <v>309</v>
      </c>
      <c r="C343" s="300" t="s">
        <v>45</v>
      </c>
      <c r="D343" s="278">
        <f>Ingresos!C336*0.65</f>
        <v>1867.3200000000002</v>
      </c>
      <c r="E343" s="301">
        <f>+D343</f>
        <v>1867.3200000000002</v>
      </c>
      <c r="F343" s="301">
        <f t="shared" ref="F343" si="728">+E343</f>
        <v>1867.3200000000002</v>
      </c>
      <c r="G343" s="301">
        <f t="shared" ref="G343" si="729">+F343</f>
        <v>1867.3200000000002</v>
      </c>
      <c r="H343" s="301">
        <f t="shared" ref="H343" si="730">+G343</f>
        <v>1867.3200000000002</v>
      </c>
      <c r="I343" s="301">
        <f t="shared" ref="I343" si="731">+H343</f>
        <v>1867.3200000000002</v>
      </c>
      <c r="J343" s="301">
        <f t="shared" ref="J343" si="732">+I343</f>
        <v>1867.3200000000002</v>
      </c>
      <c r="K343" s="301">
        <f t="shared" ref="K343" si="733">+J343</f>
        <v>1867.3200000000002</v>
      </c>
      <c r="L343" s="301">
        <f t="shared" ref="L343" si="734">+K343</f>
        <v>1867.3200000000002</v>
      </c>
      <c r="M343" s="301">
        <f t="shared" ref="M343" si="735">+L343</f>
        <v>1867.3200000000002</v>
      </c>
      <c r="N343" s="301">
        <f t="shared" ref="N343" si="736">+M343</f>
        <v>1867.3200000000002</v>
      </c>
      <c r="O343" s="301">
        <f t="shared" ref="O343" si="737">+N343</f>
        <v>1867.3200000000002</v>
      </c>
      <c r="P343" s="302">
        <f>+O343</f>
        <v>1867.3200000000002</v>
      </c>
    </row>
    <row r="344" spans="2:16" ht="15" x14ac:dyDescent="0.25">
      <c r="B344" s="727" t="s">
        <v>315</v>
      </c>
      <c r="C344" s="300" t="s">
        <v>45</v>
      </c>
      <c r="D344" s="304">
        <f>D342*D343</f>
        <v>132841.14480000001</v>
      </c>
      <c r="E344" s="304">
        <f t="shared" ref="E344:O344" si="738">E342*E343</f>
        <v>132841.14480000001</v>
      </c>
      <c r="F344" s="304">
        <f t="shared" si="738"/>
        <v>132841.14480000001</v>
      </c>
      <c r="G344" s="304">
        <f t="shared" si="738"/>
        <v>132841.14480000001</v>
      </c>
      <c r="H344" s="304">
        <f t="shared" si="738"/>
        <v>132841.14480000001</v>
      </c>
      <c r="I344" s="304">
        <f t="shared" si="738"/>
        <v>132841.14480000001</v>
      </c>
      <c r="J344" s="304">
        <f t="shared" si="738"/>
        <v>132841.14480000001</v>
      </c>
      <c r="K344" s="304">
        <f t="shared" si="738"/>
        <v>132841.14480000001</v>
      </c>
      <c r="L344" s="304">
        <f t="shared" si="738"/>
        <v>132841.14480000001</v>
      </c>
      <c r="M344" s="304">
        <f t="shared" si="738"/>
        <v>132841.14480000001</v>
      </c>
      <c r="N344" s="304">
        <f t="shared" si="738"/>
        <v>132841.14480000001</v>
      </c>
      <c r="O344" s="304">
        <f t="shared" si="738"/>
        <v>132841.14480000001</v>
      </c>
      <c r="P344" s="305">
        <f>SUM(D344:O344)</f>
        <v>1594093.7375999996</v>
      </c>
    </row>
    <row r="345" spans="2:16" x14ac:dyDescent="0.2">
      <c r="B345" s="726" t="s">
        <v>310</v>
      </c>
      <c r="C345" s="300" t="s">
        <v>45</v>
      </c>
      <c r="D345" s="278">
        <v>238.37</v>
      </c>
      <c r="E345" s="301">
        <f>+D345</f>
        <v>238.37</v>
      </c>
      <c r="F345" s="301">
        <f t="shared" ref="F345" si="739">+E345</f>
        <v>238.37</v>
      </c>
      <c r="G345" s="301">
        <f t="shared" ref="G345" si="740">+F345</f>
        <v>238.37</v>
      </c>
      <c r="H345" s="301">
        <f t="shared" ref="H345" si="741">+G345</f>
        <v>238.37</v>
      </c>
      <c r="I345" s="301">
        <f t="shared" ref="I345" si="742">+H345</f>
        <v>238.37</v>
      </c>
      <c r="J345" s="301">
        <f t="shared" ref="J345" si="743">+I345</f>
        <v>238.37</v>
      </c>
      <c r="K345" s="301">
        <f t="shared" ref="K345" si="744">+J345</f>
        <v>238.37</v>
      </c>
      <c r="L345" s="301">
        <f t="shared" ref="L345" si="745">+K345</f>
        <v>238.37</v>
      </c>
      <c r="M345" s="301">
        <f t="shared" ref="M345" si="746">+L345</f>
        <v>238.37</v>
      </c>
      <c r="N345" s="301">
        <f t="shared" ref="N345" si="747">+M345</f>
        <v>238.37</v>
      </c>
      <c r="O345" s="301">
        <f t="shared" ref="O345" si="748">+N345</f>
        <v>238.37</v>
      </c>
      <c r="P345" s="302">
        <f>+O345</f>
        <v>238.37</v>
      </c>
    </row>
    <row r="346" spans="2:16" ht="15" x14ac:dyDescent="0.25">
      <c r="B346" s="727" t="s">
        <v>315</v>
      </c>
      <c r="C346" s="300" t="s">
        <v>45</v>
      </c>
      <c r="D346" s="304">
        <f>D342*D345</f>
        <v>16957.641800000001</v>
      </c>
      <c r="E346" s="304">
        <f t="shared" ref="E346:O346" si="749">E342*E345</f>
        <v>16957.641800000001</v>
      </c>
      <c r="F346" s="304">
        <f t="shared" si="749"/>
        <v>16957.641800000001</v>
      </c>
      <c r="G346" s="304">
        <f t="shared" si="749"/>
        <v>16957.641800000001</v>
      </c>
      <c r="H346" s="304">
        <f t="shared" si="749"/>
        <v>16957.641800000001</v>
      </c>
      <c r="I346" s="304">
        <f t="shared" si="749"/>
        <v>16957.641800000001</v>
      </c>
      <c r="J346" s="304">
        <f t="shared" si="749"/>
        <v>16957.641800000001</v>
      </c>
      <c r="K346" s="304">
        <f t="shared" si="749"/>
        <v>16957.641800000001</v>
      </c>
      <c r="L346" s="304">
        <f t="shared" si="749"/>
        <v>16957.641800000001</v>
      </c>
      <c r="M346" s="304">
        <f t="shared" si="749"/>
        <v>16957.641800000001</v>
      </c>
      <c r="N346" s="304">
        <f t="shared" si="749"/>
        <v>16957.641800000001</v>
      </c>
      <c r="O346" s="304">
        <f t="shared" si="749"/>
        <v>16957.641800000001</v>
      </c>
      <c r="P346" s="305">
        <f>SUM(D346:O346)</f>
        <v>203491.70160000006</v>
      </c>
    </row>
    <row r="347" spans="2:16" x14ac:dyDescent="0.2">
      <c r="B347" s="726" t="s">
        <v>311</v>
      </c>
      <c r="C347" s="300" t="s">
        <v>45</v>
      </c>
      <c r="D347" s="278">
        <v>0</v>
      </c>
      <c r="E347" s="301">
        <f>+D347</f>
        <v>0</v>
      </c>
      <c r="F347" s="301">
        <f t="shared" ref="F347" si="750">+E347</f>
        <v>0</v>
      </c>
      <c r="G347" s="301">
        <f t="shared" ref="G347" si="751">+F347</f>
        <v>0</v>
      </c>
      <c r="H347" s="301">
        <f t="shared" ref="H347" si="752">+G347</f>
        <v>0</v>
      </c>
      <c r="I347" s="301">
        <f t="shared" ref="I347" si="753">+H347</f>
        <v>0</v>
      </c>
      <c r="J347" s="301">
        <f t="shared" ref="J347" si="754">+I347</f>
        <v>0</v>
      </c>
      <c r="K347" s="301">
        <f t="shared" ref="K347" si="755">+J347</f>
        <v>0</v>
      </c>
      <c r="L347" s="301">
        <f t="shared" ref="L347" si="756">+K347</f>
        <v>0</v>
      </c>
      <c r="M347" s="301">
        <f t="shared" ref="M347" si="757">+L347</f>
        <v>0</v>
      </c>
      <c r="N347" s="301">
        <f t="shared" ref="N347" si="758">+M347</f>
        <v>0</v>
      </c>
      <c r="O347" s="301">
        <f t="shared" ref="O347" si="759">+N347</f>
        <v>0</v>
      </c>
      <c r="P347" s="302">
        <f>+O347</f>
        <v>0</v>
      </c>
    </row>
    <row r="348" spans="2:16" ht="15" x14ac:dyDescent="0.25">
      <c r="B348" s="727" t="s">
        <v>315</v>
      </c>
      <c r="C348" s="300" t="s">
        <v>45</v>
      </c>
      <c r="D348" s="304">
        <f>D342*(D347)</f>
        <v>0</v>
      </c>
      <c r="E348" s="304">
        <f t="shared" ref="E348:O348" si="760">E342*(E347)</f>
        <v>0</v>
      </c>
      <c r="F348" s="304">
        <f t="shared" si="760"/>
        <v>0</v>
      </c>
      <c r="G348" s="304">
        <f t="shared" si="760"/>
        <v>0</v>
      </c>
      <c r="H348" s="304">
        <f t="shared" si="760"/>
        <v>0</v>
      </c>
      <c r="I348" s="304">
        <f t="shared" si="760"/>
        <v>0</v>
      </c>
      <c r="J348" s="304">
        <f t="shared" si="760"/>
        <v>0</v>
      </c>
      <c r="K348" s="304">
        <f t="shared" si="760"/>
        <v>0</v>
      </c>
      <c r="L348" s="304">
        <f t="shared" si="760"/>
        <v>0</v>
      </c>
      <c r="M348" s="304">
        <f t="shared" si="760"/>
        <v>0</v>
      </c>
      <c r="N348" s="304">
        <f t="shared" si="760"/>
        <v>0</v>
      </c>
      <c r="O348" s="304">
        <f t="shared" si="760"/>
        <v>0</v>
      </c>
      <c r="P348" s="305">
        <f>SUM(D348:O348)</f>
        <v>0</v>
      </c>
    </row>
    <row r="349" spans="2:16" ht="15" x14ac:dyDescent="0.25">
      <c r="B349" s="293" t="str">
        <f>+Ingresos!B340</f>
        <v>Papaya Hawaiana</v>
      </c>
      <c r="C349" s="294"/>
      <c r="D349" s="295"/>
      <c r="E349" s="295"/>
      <c r="F349" s="295"/>
      <c r="G349" s="295"/>
      <c r="H349" s="295"/>
      <c r="I349" s="295"/>
      <c r="J349" s="295"/>
      <c r="K349" s="295"/>
      <c r="L349" s="295"/>
      <c r="M349" s="295"/>
      <c r="N349" s="295"/>
      <c r="O349" s="295"/>
      <c r="P349" s="295"/>
    </row>
    <row r="350" spans="2:16" x14ac:dyDescent="0.2">
      <c r="B350" s="726" t="s">
        <v>159</v>
      </c>
      <c r="C350" s="296" t="s">
        <v>372</v>
      </c>
      <c r="D350" s="297">
        <f>+Ingresos!C341</f>
        <v>111.8</v>
      </c>
      <c r="E350" s="297">
        <f>+Ingresos!D341</f>
        <v>111.8</v>
      </c>
      <c r="F350" s="297">
        <f>+Ingresos!E341</f>
        <v>111.8</v>
      </c>
      <c r="G350" s="297">
        <f>+Ingresos!F341</f>
        <v>111.8</v>
      </c>
      <c r="H350" s="297">
        <f>+Ingresos!G341</f>
        <v>111.8</v>
      </c>
      <c r="I350" s="297">
        <f>+Ingresos!H341</f>
        <v>111.8</v>
      </c>
      <c r="J350" s="297">
        <f>+Ingresos!I341</f>
        <v>111.8</v>
      </c>
      <c r="K350" s="297">
        <f>+Ingresos!J341</f>
        <v>111.8</v>
      </c>
      <c r="L350" s="297">
        <f>+Ingresos!K341</f>
        <v>111.8</v>
      </c>
      <c r="M350" s="297">
        <f>+Ingresos!L341</f>
        <v>111.8</v>
      </c>
      <c r="N350" s="297">
        <f>+Ingresos!M341</f>
        <v>111.8</v>
      </c>
      <c r="O350" s="297">
        <f>+Ingresos!N341</f>
        <v>111.8</v>
      </c>
      <c r="P350" s="298">
        <f>SUM(D350:O350)</f>
        <v>1341.5999999999997</v>
      </c>
    </row>
    <row r="351" spans="2:16" x14ac:dyDescent="0.2">
      <c r="B351" s="726" t="s">
        <v>309</v>
      </c>
      <c r="C351" s="300" t="s">
        <v>45</v>
      </c>
      <c r="D351" s="278">
        <f>Ingresos!C344*0.65</f>
        <v>1200.42</v>
      </c>
      <c r="E351" s="301">
        <f>+D351</f>
        <v>1200.42</v>
      </c>
      <c r="F351" s="301">
        <f t="shared" ref="F351" si="761">+E351</f>
        <v>1200.42</v>
      </c>
      <c r="G351" s="301">
        <f t="shared" ref="G351" si="762">+F351</f>
        <v>1200.42</v>
      </c>
      <c r="H351" s="301">
        <f t="shared" ref="H351" si="763">+G351</f>
        <v>1200.42</v>
      </c>
      <c r="I351" s="301">
        <f t="shared" ref="I351" si="764">+H351</f>
        <v>1200.42</v>
      </c>
      <c r="J351" s="301">
        <f t="shared" ref="J351" si="765">+I351</f>
        <v>1200.42</v>
      </c>
      <c r="K351" s="301">
        <f t="shared" ref="K351" si="766">+J351</f>
        <v>1200.42</v>
      </c>
      <c r="L351" s="301">
        <f t="shared" ref="L351" si="767">+K351</f>
        <v>1200.42</v>
      </c>
      <c r="M351" s="301">
        <f t="shared" ref="M351" si="768">+L351</f>
        <v>1200.42</v>
      </c>
      <c r="N351" s="301">
        <f t="shared" ref="N351" si="769">+M351</f>
        <v>1200.42</v>
      </c>
      <c r="O351" s="301">
        <f t="shared" ref="O351" si="770">+N351</f>
        <v>1200.42</v>
      </c>
      <c r="P351" s="302">
        <f>+O351</f>
        <v>1200.42</v>
      </c>
    </row>
    <row r="352" spans="2:16" ht="15" x14ac:dyDescent="0.25">
      <c r="B352" s="727" t="s">
        <v>315</v>
      </c>
      <c r="C352" s="300" t="s">
        <v>45</v>
      </c>
      <c r="D352" s="304">
        <f>D350*D351</f>
        <v>134206.95600000001</v>
      </c>
      <c r="E352" s="304">
        <f t="shared" ref="E352:O352" si="771">E350*E351</f>
        <v>134206.95600000001</v>
      </c>
      <c r="F352" s="304">
        <f t="shared" si="771"/>
        <v>134206.95600000001</v>
      </c>
      <c r="G352" s="304">
        <f t="shared" si="771"/>
        <v>134206.95600000001</v>
      </c>
      <c r="H352" s="304">
        <f t="shared" si="771"/>
        <v>134206.95600000001</v>
      </c>
      <c r="I352" s="304">
        <f t="shared" si="771"/>
        <v>134206.95600000001</v>
      </c>
      <c r="J352" s="304">
        <f t="shared" si="771"/>
        <v>134206.95600000001</v>
      </c>
      <c r="K352" s="304">
        <f t="shared" si="771"/>
        <v>134206.95600000001</v>
      </c>
      <c r="L352" s="304">
        <f t="shared" si="771"/>
        <v>134206.95600000001</v>
      </c>
      <c r="M352" s="304">
        <f t="shared" si="771"/>
        <v>134206.95600000001</v>
      </c>
      <c r="N352" s="304">
        <f t="shared" si="771"/>
        <v>134206.95600000001</v>
      </c>
      <c r="O352" s="304">
        <f t="shared" si="771"/>
        <v>134206.95600000001</v>
      </c>
      <c r="P352" s="305">
        <f>SUM(D352:O352)</f>
        <v>1610483.4720000001</v>
      </c>
    </row>
    <row r="353" spans="2:16" x14ac:dyDescent="0.2">
      <c r="B353" s="726" t="s">
        <v>310</v>
      </c>
      <c r="C353" s="300" t="s">
        <v>45</v>
      </c>
      <c r="D353" s="278">
        <v>124.37</v>
      </c>
      <c r="E353" s="301">
        <f>+D353</f>
        <v>124.37</v>
      </c>
      <c r="F353" s="301">
        <f t="shared" ref="F353" si="772">+E353</f>
        <v>124.37</v>
      </c>
      <c r="G353" s="301">
        <f t="shared" ref="G353" si="773">+F353</f>
        <v>124.37</v>
      </c>
      <c r="H353" s="301">
        <f t="shared" ref="H353" si="774">+G353</f>
        <v>124.37</v>
      </c>
      <c r="I353" s="301">
        <f t="shared" ref="I353" si="775">+H353</f>
        <v>124.37</v>
      </c>
      <c r="J353" s="301">
        <f t="shared" ref="J353" si="776">+I353</f>
        <v>124.37</v>
      </c>
      <c r="K353" s="301">
        <f t="shared" ref="K353" si="777">+J353</f>
        <v>124.37</v>
      </c>
      <c r="L353" s="301">
        <f t="shared" ref="L353" si="778">+K353</f>
        <v>124.37</v>
      </c>
      <c r="M353" s="301">
        <f t="shared" ref="M353" si="779">+L353</f>
        <v>124.37</v>
      </c>
      <c r="N353" s="301">
        <f t="shared" ref="N353" si="780">+M353</f>
        <v>124.37</v>
      </c>
      <c r="O353" s="301">
        <f t="shared" ref="O353" si="781">+N353</f>
        <v>124.37</v>
      </c>
      <c r="P353" s="302">
        <f>+O353</f>
        <v>124.37</v>
      </c>
    </row>
    <row r="354" spans="2:16" ht="15" x14ac:dyDescent="0.25">
      <c r="B354" s="727" t="s">
        <v>315</v>
      </c>
      <c r="C354" s="300" t="s">
        <v>45</v>
      </c>
      <c r="D354" s="304">
        <f>D350*D353</f>
        <v>13904.566000000001</v>
      </c>
      <c r="E354" s="304">
        <f t="shared" ref="E354:O354" si="782">E350*E353</f>
        <v>13904.566000000001</v>
      </c>
      <c r="F354" s="304">
        <f t="shared" si="782"/>
        <v>13904.566000000001</v>
      </c>
      <c r="G354" s="304">
        <f t="shared" si="782"/>
        <v>13904.566000000001</v>
      </c>
      <c r="H354" s="304">
        <f t="shared" si="782"/>
        <v>13904.566000000001</v>
      </c>
      <c r="I354" s="304">
        <f t="shared" si="782"/>
        <v>13904.566000000001</v>
      </c>
      <c r="J354" s="304">
        <f t="shared" si="782"/>
        <v>13904.566000000001</v>
      </c>
      <c r="K354" s="304">
        <f t="shared" si="782"/>
        <v>13904.566000000001</v>
      </c>
      <c r="L354" s="304">
        <f t="shared" si="782"/>
        <v>13904.566000000001</v>
      </c>
      <c r="M354" s="304">
        <f t="shared" si="782"/>
        <v>13904.566000000001</v>
      </c>
      <c r="N354" s="304">
        <f t="shared" si="782"/>
        <v>13904.566000000001</v>
      </c>
      <c r="O354" s="304">
        <f t="shared" si="782"/>
        <v>13904.566000000001</v>
      </c>
      <c r="P354" s="305">
        <f>SUM(D354:O354)</f>
        <v>166854.79200000002</v>
      </c>
    </row>
    <row r="355" spans="2:16" x14ac:dyDescent="0.2">
      <c r="B355" s="726" t="s">
        <v>311</v>
      </c>
      <c r="C355" s="300" t="s">
        <v>45</v>
      </c>
      <c r="D355" s="278">
        <v>0</v>
      </c>
      <c r="E355" s="301">
        <f>+D355</f>
        <v>0</v>
      </c>
      <c r="F355" s="301">
        <f t="shared" ref="F355" si="783">+E355</f>
        <v>0</v>
      </c>
      <c r="G355" s="301">
        <f t="shared" ref="G355" si="784">+F355</f>
        <v>0</v>
      </c>
      <c r="H355" s="301">
        <f t="shared" ref="H355" si="785">+G355</f>
        <v>0</v>
      </c>
      <c r="I355" s="301">
        <f t="shared" ref="I355" si="786">+H355</f>
        <v>0</v>
      </c>
      <c r="J355" s="301">
        <f t="shared" ref="J355" si="787">+I355</f>
        <v>0</v>
      </c>
      <c r="K355" s="301">
        <f t="shared" ref="K355" si="788">+J355</f>
        <v>0</v>
      </c>
      <c r="L355" s="301">
        <f t="shared" ref="L355" si="789">+K355</f>
        <v>0</v>
      </c>
      <c r="M355" s="301">
        <f t="shared" ref="M355" si="790">+L355</f>
        <v>0</v>
      </c>
      <c r="N355" s="301">
        <f t="shared" ref="N355" si="791">+M355</f>
        <v>0</v>
      </c>
      <c r="O355" s="301">
        <f t="shared" ref="O355" si="792">+N355</f>
        <v>0</v>
      </c>
      <c r="P355" s="302">
        <f>+O355</f>
        <v>0</v>
      </c>
    </row>
    <row r="356" spans="2:16" ht="15" x14ac:dyDescent="0.25">
      <c r="B356" s="727" t="s">
        <v>315</v>
      </c>
      <c r="C356" s="300" t="s">
        <v>45</v>
      </c>
      <c r="D356" s="304">
        <f>D350*(D355)</f>
        <v>0</v>
      </c>
      <c r="E356" s="304">
        <f t="shared" ref="E356:O356" si="793">E350*(E355)</f>
        <v>0</v>
      </c>
      <c r="F356" s="304">
        <f t="shared" si="793"/>
        <v>0</v>
      </c>
      <c r="G356" s="304">
        <f t="shared" si="793"/>
        <v>0</v>
      </c>
      <c r="H356" s="304">
        <f t="shared" si="793"/>
        <v>0</v>
      </c>
      <c r="I356" s="304">
        <f t="shared" si="793"/>
        <v>0</v>
      </c>
      <c r="J356" s="304">
        <f t="shared" si="793"/>
        <v>0</v>
      </c>
      <c r="K356" s="304">
        <f t="shared" si="793"/>
        <v>0</v>
      </c>
      <c r="L356" s="304">
        <f t="shared" si="793"/>
        <v>0</v>
      </c>
      <c r="M356" s="304">
        <f t="shared" si="793"/>
        <v>0</v>
      </c>
      <c r="N356" s="304">
        <f t="shared" si="793"/>
        <v>0</v>
      </c>
      <c r="O356" s="304">
        <f t="shared" si="793"/>
        <v>0</v>
      </c>
      <c r="P356" s="305">
        <f>SUM(D356:O356)</f>
        <v>0</v>
      </c>
    </row>
    <row r="357" spans="2:16" ht="15" x14ac:dyDescent="0.25">
      <c r="B357" s="293" t="str">
        <f>+Ingresos!B348</f>
        <v>Piña Oro Miel</v>
      </c>
      <c r="C357" s="294"/>
      <c r="D357" s="295"/>
      <c r="E357" s="295"/>
      <c r="F357" s="295"/>
      <c r="G357" s="295"/>
      <c r="H357" s="295"/>
      <c r="I357" s="295"/>
      <c r="J357" s="295"/>
      <c r="K357" s="295"/>
      <c r="L357" s="295"/>
      <c r="M357" s="295"/>
      <c r="N357" s="295"/>
      <c r="O357" s="295"/>
      <c r="P357" s="295"/>
    </row>
    <row r="358" spans="2:16" x14ac:dyDescent="0.2">
      <c r="B358" s="726" t="s">
        <v>159</v>
      </c>
      <c r="C358" s="296" t="s">
        <v>372</v>
      </c>
      <c r="D358" s="297">
        <f>+Ingresos!C349</f>
        <v>329.1</v>
      </c>
      <c r="E358" s="297">
        <f>+Ingresos!D349</f>
        <v>329.1</v>
      </c>
      <c r="F358" s="297">
        <f>+Ingresos!E349</f>
        <v>329.1</v>
      </c>
      <c r="G358" s="297">
        <f>+Ingresos!F349</f>
        <v>329.1</v>
      </c>
      <c r="H358" s="297">
        <f>+Ingresos!G349</f>
        <v>329.1</v>
      </c>
      <c r="I358" s="297">
        <f>+Ingresos!H349</f>
        <v>329.1</v>
      </c>
      <c r="J358" s="297">
        <f>+Ingresos!I349</f>
        <v>329.1</v>
      </c>
      <c r="K358" s="297">
        <f>+Ingresos!J349</f>
        <v>329.1</v>
      </c>
      <c r="L358" s="297">
        <f>+Ingresos!K349</f>
        <v>329.1</v>
      </c>
      <c r="M358" s="297">
        <f>+Ingresos!L349</f>
        <v>329.1</v>
      </c>
      <c r="N358" s="297">
        <f>+Ingresos!M349</f>
        <v>329.1</v>
      </c>
      <c r="O358" s="297">
        <f>+Ingresos!N349</f>
        <v>329.1</v>
      </c>
      <c r="P358" s="298">
        <f>SUM(D358:O358)</f>
        <v>3949.1999999999994</v>
      </c>
    </row>
    <row r="359" spans="2:16" x14ac:dyDescent="0.2">
      <c r="B359" s="726" t="s">
        <v>309</v>
      </c>
      <c r="C359" s="300" t="s">
        <v>45</v>
      </c>
      <c r="D359" s="278">
        <f>Ingresos!C352*0.65</f>
        <v>1067.04</v>
      </c>
      <c r="E359" s="301">
        <f>+D359</f>
        <v>1067.04</v>
      </c>
      <c r="F359" s="301">
        <f t="shared" ref="F359" si="794">+E359</f>
        <v>1067.04</v>
      </c>
      <c r="G359" s="301">
        <f t="shared" ref="G359" si="795">+F359</f>
        <v>1067.04</v>
      </c>
      <c r="H359" s="301">
        <f t="shared" ref="H359" si="796">+G359</f>
        <v>1067.04</v>
      </c>
      <c r="I359" s="301">
        <f t="shared" ref="I359" si="797">+H359</f>
        <v>1067.04</v>
      </c>
      <c r="J359" s="301">
        <f t="shared" ref="J359" si="798">+I359</f>
        <v>1067.04</v>
      </c>
      <c r="K359" s="301">
        <f t="shared" ref="K359" si="799">+J359</f>
        <v>1067.04</v>
      </c>
      <c r="L359" s="301">
        <f t="shared" ref="L359" si="800">+K359</f>
        <v>1067.04</v>
      </c>
      <c r="M359" s="301">
        <f t="shared" ref="M359" si="801">+L359</f>
        <v>1067.04</v>
      </c>
      <c r="N359" s="301">
        <f t="shared" ref="N359" si="802">+M359</f>
        <v>1067.04</v>
      </c>
      <c r="O359" s="301">
        <f t="shared" ref="O359" si="803">+N359</f>
        <v>1067.04</v>
      </c>
      <c r="P359" s="302">
        <f>+O359</f>
        <v>1067.04</v>
      </c>
    </row>
    <row r="360" spans="2:16" ht="15" x14ac:dyDescent="0.25">
      <c r="B360" s="727" t="s">
        <v>315</v>
      </c>
      <c r="C360" s="300" t="s">
        <v>45</v>
      </c>
      <c r="D360" s="304">
        <f>D358*D359</f>
        <v>351162.864</v>
      </c>
      <c r="E360" s="304">
        <f t="shared" ref="E360:O360" si="804">E358*E359</f>
        <v>351162.864</v>
      </c>
      <c r="F360" s="304">
        <f t="shared" si="804"/>
        <v>351162.864</v>
      </c>
      <c r="G360" s="304">
        <f t="shared" si="804"/>
        <v>351162.864</v>
      </c>
      <c r="H360" s="304">
        <f t="shared" si="804"/>
        <v>351162.864</v>
      </c>
      <c r="I360" s="304">
        <f t="shared" si="804"/>
        <v>351162.864</v>
      </c>
      <c r="J360" s="304">
        <f t="shared" si="804"/>
        <v>351162.864</v>
      </c>
      <c r="K360" s="304">
        <f t="shared" si="804"/>
        <v>351162.864</v>
      </c>
      <c r="L360" s="304">
        <f t="shared" si="804"/>
        <v>351162.864</v>
      </c>
      <c r="M360" s="304">
        <f t="shared" si="804"/>
        <v>351162.864</v>
      </c>
      <c r="N360" s="304">
        <f t="shared" si="804"/>
        <v>351162.864</v>
      </c>
      <c r="O360" s="304">
        <f t="shared" si="804"/>
        <v>351162.864</v>
      </c>
      <c r="P360" s="305">
        <f>SUM(D360:O360)</f>
        <v>4213954.3679999998</v>
      </c>
    </row>
    <row r="361" spans="2:16" x14ac:dyDescent="0.2">
      <c r="B361" s="726" t="s">
        <v>310</v>
      </c>
      <c r="C361" s="300" t="s">
        <v>45</v>
      </c>
      <c r="D361" s="278">
        <v>101.56</v>
      </c>
      <c r="E361" s="301">
        <f>+D361</f>
        <v>101.56</v>
      </c>
      <c r="F361" s="301">
        <f t="shared" ref="F361" si="805">+E361</f>
        <v>101.56</v>
      </c>
      <c r="G361" s="301">
        <f t="shared" ref="G361" si="806">+F361</f>
        <v>101.56</v>
      </c>
      <c r="H361" s="301">
        <f t="shared" ref="H361" si="807">+G361</f>
        <v>101.56</v>
      </c>
      <c r="I361" s="301">
        <f t="shared" ref="I361" si="808">+H361</f>
        <v>101.56</v>
      </c>
      <c r="J361" s="301">
        <f t="shared" ref="J361" si="809">+I361</f>
        <v>101.56</v>
      </c>
      <c r="K361" s="301">
        <f t="shared" ref="K361" si="810">+J361</f>
        <v>101.56</v>
      </c>
      <c r="L361" s="301">
        <f t="shared" ref="L361" si="811">+K361</f>
        <v>101.56</v>
      </c>
      <c r="M361" s="301">
        <f t="shared" ref="M361" si="812">+L361</f>
        <v>101.56</v>
      </c>
      <c r="N361" s="301">
        <f t="shared" ref="N361" si="813">+M361</f>
        <v>101.56</v>
      </c>
      <c r="O361" s="301">
        <f t="shared" ref="O361" si="814">+N361</f>
        <v>101.56</v>
      </c>
      <c r="P361" s="302">
        <f>+O361</f>
        <v>101.56</v>
      </c>
    </row>
    <row r="362" spans="2:16" ht="15" x14ac:dyDescent="0.25">
      <c r="B362" s="727" t="s">
        <v>315</v>
      </c>
      <c r="C362" s="300" t="s">
        <v>45</v>
      </c>
      <c r="D362" s="304">
        <f>D358*D361</f>
        <v>33423.396000000001</v>
      </c>
      <c r="E362" s="304">
        <f t="shared" ref="E362:O362" si="815">E358*E361</f>
        <v>33423.396000000001</v>
      </c>
      <c r="F362" s="304">
        <f t="shared" si="815"/>
        <v>33423.396000000001</v>
      </c>
      <c r="G362" s="304">
        <f t="shared" si="815"/>
        <v>33423.396000000001</v>
      </c>
      <c r="H362" s="304">
        <f t="shared" si="815"/>
        <v>33423.396000000001</v>
      </c>
      <c r="I362" s="304">
        <f t="shared" si="815"/>
        <v>33423.396000000001</v>
      </c>
      <c r="J362" s="304">
        <f t="shared" si="815"/>
        <v>33423.396000000001</v>
      </c>
      <c r="K362" s="304">
        <f t="shared" si="815"/>
        <v>33423.396000000001</v>
      </c>
      <c r="L362" s="304">
        <f t="shared" si="815"/>
        <v>33423.396000000001</v>
      </c>
      <c r="M362" s="304">
        <f t="shared" si="815"/>
        <v>33423.396000000001</v>
      </c>
      <c r="N362" s="304">
        <f t="shared" si="815"/>
        <v>33423.396000000001</v>
      </c>
      <c r="O362" s="304">
        <f t="shared" si="815"/>
        <v>33423.396000000001</v>
      </c>
      <c r="P362" s="305">
        <f>SUM(D362:O362)</f>
        <v>401080.75200000004</v>
      </c>
    </row>
    <row r="363" spans="2:16" x14ac:dyDescent="0.2">
      <c r="B363" s="726" t="s">
        <v>311</v>
      </c>
      <c r="C363" s="300" t="s">
        <v>45</v>
      </c>
      <c r="D363" s="278">
        <v>0</v>
      </c>
      <c r="E363" s="301">
        <f>+D363</f>
        <v>0</v>
      </c>
      <c r="F363" s="301">
        <f t="shared" ref="F363" si="816">+E363</f>
        <v>0</v>
      </c>
      <c r="G363" s="301">
        <f t="shared" ref="G363" si="817">+F363</f>
        <v>0</v>
      </c>
      <c r="H363" s="301">
        <f t="shared" ref="H363" si="818">+G363</f>
        <v>0</v>
      </c>
      <c r="I363" s="301">
        <f t="shared" ref="I363" si="819">+H363</f>
        <v>0</v>
      </c>
      <c r="J363" s="301">
        <f t="shared" ref="J363" si="820">+I363</f>
        <v>0</v>
      </c>
      <c r="K363" s="301">
        <f t="shared" ref="K363" si="821">+J363</f>
        <v>0</v>
      </c>
      <c r="L363" s="301">
        <f t="shared" ref="L363" si="822">+K363</f>
        <v>0</v>
      </c>
      <c r="M363" s="301">
        <f t="shared" ref="M363" si="823">+L363</f>
        <v>0</v>
      </c>
      <c r="N363" s="301">
        <f t="shared" ref="N363" si="824">+M363</f>
        <v>0</v>
      </c>
      <c r="O363" s="301">
        <f t="shared" ref="O363" si="825">+N363</f>
        <v>0</v>
      </c>
      <c r="P363" s="302">
        <f>+O363</f>
        <v>0</v>
      </c>
    </row>
    <row r="364" spans="2:16" ht="15" x14ac:dyDescent="0.25">
      <c r="B364" s="727" t="s">
        <v>315</v>
      </c>
      <c r="C364" s="300" t="s">
        <v>45</v>
      </c>
      <c r="D364" s="304">
        <f>D358*(D363)</f>
        <v>0</v>
      </c>
      <c r="E364" s="304">
        <f t="shared" ref="E364:O364" si="826">E358*(E363)</f>
        <v>0</v>
      </c>
      <c r="F364" s="304">
        <f t="shared" si="826"/>
        <v>0</v>
      </c>
      <c r="G364" s="304">
        <f t="shared" si="826"/>
        <v>0</v>
      </c>
      <c r="H364" s="304">
        <f t="shared" si="826"/>
        <v>0</v>
      </c>
      <c r="I364" s="304">
        <f t="shared" si="826"/>
        <v>0</v>
      </c>
      <c r="J364" s="304">
        <f t="shared" si="826"/>
        <v>0</v>
      </c>
      <c r="K364" s="304">
        <f t="shared" si="826"/>
        <v>0</v>
      </c>
      <c r="L364" s="304">
        <f t="shared" si="826"/>
        <v>0</v>
      </c>
      <c r="M364" s="304">
        <f t="shared" si="826"/>
        <v>0</v>
      </c>
      <c r="N364" s="304">
        <f t="shared" si="826"/>
        <v>0</v>
      </c>
      <c r="O364" s="304">
        <f t="shared" si="826"/>
        <v>0</v>
      </c>
      <c r="P364" s="305">
        <f>SUM(D364:O364)</f>
        <v>0</v>
      </c>
    </row>
    <row r="365" spans="2:16" ht="15" x14ac:dyDescent="0.25">
      <c r="B365" s="293" t="str">
        <f>+Ingresos!B356</f>
        <v>Pitahaya</v>
      </c>
      <c r="C365" s="294"/>
      <c r="D365" s="295"/>
      <c r="E365" s="295"/>
      <c r="F365" s="295"/>
      <c r="G365" s="295"/>
      <c r="H365" s="295"/>
      <c r="I365" s="295"/>
      <c r="J365" s="295"/>
      <c r="K365" s="295"/>
      <c r="L365" s="295"/>
      <c r="M365" s="295"/>
      <c r="N365" s="295"/>
      <c r="O365" s="295"/>
      <c r="P365" s="295"/>
    </row>
    <row r="366" spans="2:16" x14ac:dyDescent="0.2">
      <c r="B366" s="726" t="s">
        <v>159</v>
      </c>
      <c r="C366" s="296" t="s">
        <v>372</v>
      </c>
      <c r="D366" s="297">
        <f>+Ingresos!C349</f>
        <v>329.1</v>
      </c>
      <c r="E366" s="297">
        <f>+Ingresos!D349</f>
        <v>329.1</v>
      </c>
      <c r="F366" s="297">
        <f>+Ingresos!E349</f>
        <v>329.1</v>
      </c>
      <c r="G366" s="297">
        <f>+Ingresos!F349</f>
        <v>329.1</v>
      </c>
      <c r="H366" s="297">
        <f>+Ingresos!G349</f>
        <v>329.1</v>
      </c>
      <c r="I366" s="297">
        <f>+Ingresos!H349</f>
        <v>329.1</v>
      </c>
      <c r="J366" s="297">
        <f>+Ingresos!I349</f>
        <v>329.1</v>
      </c>
      <c r="K366" s="297">
        <f>+Ingresos!J349</f>
        <v>329.1</v>
      </c>
      <c r="L366" s="297">
        <f>+Ingresos!K349</f>
        <v>329.1</v>
      </c>
      <c r="M366" s="297">
        <f>+Ingresos!L349</f>
        <v>329.1</v>
      </c>
      <c r="N366" s="297">
        <f>+Ingresos!M349</f>
        <v>329.1</v>
      </c>
      <c r="O366" s="297">
        <f>+Ingresos!N349</f>
        <v>329.1</v>
      </c>
      <c r="P366" s="298">
        <f>SUM(D366:O366)</f>
        <v>3949.1999999999994</v>
      </c>
    </row>
    <row r="367" spans="2:16" x14ac:dyDescent="0.2">
      <c r="B367" s="726" t="s">
        <v>309</v>
      </c>
      <c r="C367" s="300" t="s">
        <v>45</v>
      </c>
      <c r="D367" s="278">
        <f>Ingresos!C360*0.65</f>
        <v>4668.3</v>
      </c>
      <c r="E367" s="301">
        <f>+D367</f>
        <v>4668.3</v>
      </c>
      <c r="F367" s="301">
        <f t="shared" ref="F367" si="827">+E367</f>
        <v>4668.3</v>
      </c>
      <c r="G367" s="301">
        <f t="shared" ref="G367" si="828">+F367</f>
        <v>4668.3</v>
      </c>
      <c r="H367" s="301">
        <f t="shared" ref="H367" si="829">+G367</f>
        <v>4668.3</v>
      </c>
      <c r="I367" s="301">
        <f t="shared" ref="I367" si="830">+H367</f>
        <v>4668.3</v>
      </c>
      <c r="J367" s="301">
        <f t="shared" ref="J367" si="831">+I367</f>
        <v>4668.3</v>
      </c>
      <c r="K367" s="301">
        <f t="shared" ref="K367" si="832">+J367</f>
        <v>4668.3</v>
      </c>
      <c r="L367" s="301">
        <f t="shared" ref="L367" si="833">+K367</f>
        <v>4668.3</v>
      </c>
      <c r="M367" s="301">
        <f t="shared" ref="M367" si="834">+L367</f>
        <v>4668.3</v>
      </c>
      <c r="N367" s="301">
        <f t="shared" ref="N367" si="835">+M367</f>
        <v>4668.3</v>
      </c>
      <c r="O367" s="301">
        <f t="shared" ref="O367" si="836">+N367</f>
        <v>4668.3</v>
      </c>
      <c r="P367" s="302">
        <f>+O367</f>
        <v>4668.3</v>
      </c>
    </row>
    <row r="368" spans="2:16" ht="15" x14ac:dyDescent="0.25">
      <c r="B368" s="727" t="s">
        <v>315</v>
      </c>
      <c r="C368" s="300" t="s">
        <v>45</v>
      </c>
      <c r="D368" s="304">
        <f>D366*D367</f>
        <v>1536337.5300000003</v>
      </c>
      <c r="E368" s="304">
        <f t="shared" ref="E368:O368" si="837">E366*E367</f>
        <v>1536337.5300000003</v>
      </c>
      <c r="F368" s="304">
        <f t="shared" si="837"/>
        <v>1536337.5300000003</v>
      </c>
      <c r="G368" s="304">
        <f t="shared" si="837"/>
        <v>1536337.5300000003</v>
      </c>
      <c r="H368" s="304">
        <f t="shared" si="837"/>
        <v>1536337.5300000003</v>
      </c>
      <c r="I368" s="304">
        <f t="shared" si="837"/>
        <v>1536337.5300000003</v>
      </c>
      <c r="J368" s="304">
        <f t="shared" si="837"/>
        <v>1536337.5300000003</v>
      </c>
      <c r="K368" s="304">
        <f t="shared" si="837"/>
        <v>1536337.5300000003</v>
      </c>
      <c r="L368" s="304">
        <f t="shared" si="837"/>
        <v>1536337.5300000003</v>
      </c>
      <c r="M368" s="304">
        <f t="shared" si="837"/>
        <v>1536337.5300000003</v>
      </c>
      <c r="N368" s="304">
        <f t="shared" si="837"/>
        <v>1536337.5300000003</v>
      </c>
      <c r="O368" s="304">
        <f t="shared" si="837"/>
        <v>1536337.5300000003</v>
      </c>
      <c r="P368" s="305">
        <f>SUM(D368:O368)</f>
        <v>18436050.360000007</v>
      </c>
    </row>
    <row r="369" spans="2:16" x14ac:dyDescent="0.2">
      <c r="B369" s="726" t="s">
        <v>310</v>
      </c>
      <c r="C369" s="300" t="s">
        <v>45</v>
      </c>
      <c r="D369" s="278">
        <v>717.16</v>
      </c>
      <c r="E369" s="301">
        <f>+D369</f>
        <v>717.16</v>
      </c>
      <c r="F369" s="301">
        <f t="shared" ref="F369" si="838">+E369</f>
        <v>717.16</v>
      </c>
      <c r="G369" s="301">
        <f t="shared" ref="G369" si="839">+F369</f>
        <v>717.16</v>
      </c>
      <c r="H369" s="301">
        <f t="shared" ref="H369" si="840">+G369</f>
        <v>717.16</v>
      </c>
      <c r="I369" s="301">
        <f t="shared" ref="I369" si="841">+H369</f>
        <v>717.16</v>
      </c>
      <c r="J369" s="301">
        <f t="shared" ref="J369" si="842">+I369</f>
        <v>717.16</v>
      </c>
      <c r="K369" s="301">
        <f t="shared" ref="K369" si="843">+J369</f>
        <v>717.16</v>
      </c>
      <c r="L369" s="301">
        <f t="shared" ref="L369" si="844">+K369</f>
        <v>717.16</v>
      </c>
      <c r="M369" s="301">
        <f t="shared" ref="M369" si="845">+L369</f>
        <v>717.16</v>
      </c>
      <c r="N369" s="301">
        <f t="shared" ref="N369" si="846">+M369</f>
        <v>717.16</v>
      </c>
      <c r="O369" s="301">
        <f t="shared" ref="O369" si="847">+N369</f>
        <v>717.16</v>
      </c>
      <c r="P369" s="302">
        <f>+O369</f>
        <v>717.16</v>
      </c>
    </row>
    <row r="370" spans="2:16" ht="15" x14ac:dyDescent="0.25">
      <c r="B370" s="727" t="s">
        <v>315</v>
      </c>
      <c r="C370" s="300" t="s">
        <v>45</v>
      </c>
      <c r="D370" s="304">
        <f>D366*D369</f>
        <v>236017.356</v>
      </c>
      <c r="E370" s="304">
        <f t="shared" ref="E370:O370" si="848">E366*E369</f>
        <v>236017.356</v>
      </c>
      <c r="F370" s="304">
        <f t="shared" si="848"/>
        <v>236017.356</v>
      </c>
      <c r="G370" s="304">
        <f t="shared" si="848"/>
        <v>236017.356</v>
      </c>
      <c r="H370" s="304">
        <f t="shared" si="848"/>
        <v>236017.356</v>
      </c>
      <c r="I370" s="304">
        <f t="shared" si="848"/>
        <v>236017.356</v>
      </c>
      <c r="J370" s="304">
        <f t="shared" si="848"/>
        <v>236017.356</v>
      </c>
      <c r="K370" s="304">
        <f t="shared" si="848"/>
        <v>236017.356</v>
      </c>
      <c r="L370" s="304">
        <f t="shared" si="848"/>
        <v>236017.356</v>
      </c>
      <c r="M370" s="304">
        <f t="shared" si="848"/>
        <v>236017.356</v>
      </c>
      <c r="N370" s="304">
        <f t="shared" si="848"/>
        <v>236017.356</v>
      </c>
      <c r="O370" s="304">
        <f t="shared" si="848"/>
        <v>236017.356</v>
      </c>
      <c r="P370" s="305">
        <f>SUM(D370:O370)</f>
        <v>2832208.2720000003</v>
      </c>
    </row>
    <row r="371" spans="2:16" x14ac:dyDescent="0.2">
      <c r="B371" s="726" t="s">
        <v>311</v>
      </c>
      <c r="C371" s="300" t="s">
        <v>45</v>
      </c>
      <c r="D371" s="278">
        <v>0</v>
      </c>
      <c r="E371" s="301">
        <f>+D371</f>
        <v>0</v>
      </c>
      <c r="F371" s="301">
        <f t="shared" ref="F371" si="849">+E371</f>
        <v>0</v>
      </c>
      <c r="G371" s="301">
        <f t="shared" ref="G371" si="850">+F371</f>
        <v>0</v>
      </c>
      <c r="H371" s="301">
        <f t="shared" ref="H371" si="851">+G371</f>
        <v>0</v>
      </c>
      <c r="I371" s="301">
        <f t="shared" ref="I371" si="852">+H371</f>
        <v>0</v>
      </c>
      <c r="J371" s="301">
        <f t="shared" ref="J371" si="853">+I371</f>
        <v>0</v>
      </c>
      <c r="K371" s="301">
        <f t="shared" ref="K371" si="854">+J371</f>
        <v>0</v>
      </c>
      <c r="L371" s="301">
        <f t="shared" ref="L371" si="855">+K371</f>
        <v>0</v>
      </c>
      <c r="M371" s="301">
        <f t="shared" ref="M371" si="856">+L371</f>
        <v>0</v>
      </c>
      <c r="N371" s="301">
        <f t="shared" ref="N371" si="857">+M371</f>
        <v>0</v>
      </c>
      <c r="O371" s="301">
        <f t="shared" ref="O371" si="858">+N371</f>
        <v>0</v>
      </c>
      <c r="P371" s="302">
        <f>+O371</f>
        <v>0</v>
      </c>
    </row>
    <row r="372" spans="2:16" ht="15" x14ac:dyDescent="0.25">
      <c r="B372" s="727" t="s">
        <v>315</v>
      </c>
      <c r="C372" s="300" t="s">
        <v>45</v>
      </c>
      <c r="D372" s="304">
        <f>D366*(D371)</f>
        <v>0</v>
      </c>
      <c r="E372" s="304">
        <f t="shared" ref="E372:O372" si="859">E366*(E371)</f>
        <v>0</v>
      </c>
      <c r="F372" s="304">
        <f t="shared" si="859"/>
        <v>0</v>
      </c>
      <c r="G372" s="304">
        <f t="shared" si="859"/>
        <v>0</v>
      </c>
      <c r="H372" s="304">
        <f t="shared" si="859"/>
        <v>0</v>
      </c>
      <c r="I372" s="304">
        <f t="shared" si="859"/>
        <v>0</v>
      </c>
      <c r="J372" s="304">
        <f t="shared" si="859"/>
        <v>0</v>
      </c>
      <c r="K372" s="304">
        <f t="shared" si="859"/>
        <v>0</v>
      </c>
      <c r="L372" s="304">
        <f t="shared" si="859"/>
        <v>0</v>
      </c>
      <c r="M372" s="304">
        <f t="shared" si="859"/>
        <v>0</v>
      </c>
      <c r="N372" s="304">
        <f t="shared" si="859"/>
        <v>0</v>
      </c>
      <c r="O372" s="304">
        <f t="shared" si="859"/>
        <v>0</v>
      </c>
      <c r="P372" s="305">
        <f>SUM(D372:O372)</f>
        <v>0</v>
      </c>
    </row>
    <row r="373" spans="2:16" ht="15" x14ac:dyDescent="0.25">
      <c r="B373" s="293" t="str">
        <f>+Ingresos!B364</f>
        <v>Tomate de árbol</v>
      </c>
      <c r="C373" s="294"/>
      <c r="D373" s="295"/>
      <c r="E373" s="295"/>
      <c r="F373" s="295"/>
      <c r="G373" s="295"/>
      <c r="H373" s="295"/>
      <c r="I373" s="295"/>
      <c r="J373" s="295"/>
      <c r="K373" s="295"/>
      <c r="L373" s="295"/>
      <c r="M373" s="295"/>
      <c r="N373" s="295"/>
      <c r="O373" s="295"/>
      <c r="P373" s="295"/>
    </row>
    <row r="374" spans="2:16" x14ac:dyDescent="0.2">
      <c r="B374" s="726" t="s">
        <v>159</v>
      </c>
      <c r="C374" s="296" t="s">
        <v>372</v>
      </c>
      <c r="D374" s="297">
        <f>+Ingresos!C365</f>
        <v>1246.7</v>
      </c>
      <c r="E374" s="297">
        <f>+Ingresos!D365</f>
        <v>1246.7</v>
      </c>
      <c r="F374" s="297">
        <f>+Ingresos!E365</f>
        <v>1246.7</v>
      </c>
      <c r="G374" s="297">
        <f>+Ingresos!F365</f>
        <v>1246.7</v>
      </c>
      <c r="H374" s="297">
        <f>+Ingresos!G365</f>
        <v>1246.7</v>
      </c>
      <c r="I374" s="297">
        <f>+Ingresos!H365</f>
        <v>1246.7</v>
      </c>
      <c r="J374" s="297">
        <f>+Ingresos!I365</f>
        <v>1246.7</v>
      </c>
      <c r="K374" s="297">
        <f>+Ingresos!J365</f>
        <v>1246.7</v>
      </c>
      <c r="L374" s="297">
        <f>+Ingresos!K365</f>
        <v>1246.7</v>
      </c>
      <c r="M374" s="297">
        <f>+Ingresos!L365</f>
        <v>1246.7</v>
      </c>
      <c r="N374" s="297">
        <f>+Ingresos!M365</f>
        <v>1246.7</v>
      </c>
      <c r="O374" s="297">
        <f>+Ingresos!N365</f>
        <v>1246.7</v>
      </c>
      <c r="P374" s="298">
        <f>SUM(D374:O374)</f>
        <v>14960.400000000003</v>
      </c>
    </row>
    <row r="375" spans="2:16" x14ac:dyDescent="0.2">
      <c r="B375" s="726" t="s">
        <v>309</v>
      </c>
      <c r="C375" s="300" t="s">
        <v>45</v>
      </c>
      <c r="D375" s="278">
        <f>Ingresos!C368*0.65</f>
        <v>1333.8</v>
      </c>
      <c r="E375" s="301">
        <f>+D375</f>
        <v>1333.8</v>
      </c>
      <c r="F375" s="301">
        <f t="shared" ref="F375:O375" si="860">+E375</f>
        <v>1333.8</v>
      </c>
      <c r="G375" s="301">
        <f t="shared" si="860"/>
        <v>1333.8</v>
      </c>
      <c r="H375" s="301">
        <f t="shared" si="860"/>
        <v>1333.8</v>
      </c>
      <c r="I375" s="301">
        <f t="shared" si="860"/>
        <v>1333.8</v>
      </c>
      <c r="J375" s="301">
        <f t="shared" si="860"/>
        <v>1333.8</v>
      </c>
      <c r="K375" s="301">
        <f t="shared" si="860"/>
        <v>1333.8</v>
      </c>
      <c r="L375" s="301">
        <f t="shared" si="860"/>
        <v>1333.8</v>
      </c>
      <c r="M375" s="301">
        <f t="shared" si="860"/>
        <v>1333.8</v>
      </c>
      <c r="N375" s="301">
        <f t="shared" si="860"/>
        <v>1333.8</v>
      </c>
      <c r="O375" s="301">
        <f t="shared" si="860"/>
        <v>1333.8</v>
      </c>
      <c r="P375" s="302">
        <f>+O375</f>
        <v>1333.8</v>
      </c>
    </row>
    <row r="376" spans="2:16" ht="15" x14ac:dyDescent="0.25">
      <c r="B376" s="727" t="s">
        <v>315</v>
      </c>
      <c r="C376" s="300" t="s">
        <v>45</v>
      </c>
      <c r="D376" s="304">
        <f>D374*D375</f>
        <v>1662848.46</v>
      </c>
      <c r="E376" s="304">
        <f t="shared" ref="E376:O376" si="861">E374*E375</f>
        <v>1662848.46</v>
      </c>
      <c r="F376" s="304">
        <f t="shared" si="861"/>
        <v>1662848.46</v>
      </c>
      <c r="G376" s="304">
        <f t="shared" si="861"/>
        <v>1662848.46</v>
      </c>
      <c r="H376" s="304">
        <f t="shared" si="861"/>
        <v>1662848.46</v>
      </c>
      <c r="I376" s="304">
        <f t="shared" si="861"/>
        <v>1662848.46</v>
      </c>
      <c r="J376" s="304">
        <f t="shared" si="861"/>
        <v>1662848.46</v>
      </c>
      <c r="K376" s="304">
        <f t="shared" si="861"/>
        <v>1662848.46</v>
      </c>
      <c r="L376" s="304">
        <f t="shared" si="861"/>
        <v>1662848.46</v>
      </c>
      <c r="M376" s="304">
        <f t="shared" si="861"/>
        <v>1662848.46</v>
      </c>
      <c r="N376" s="304">
        <f t="shared" si="861"/>
        <v>1662848.46</v>
      </c>
      <c r="O376" s="304">
        <f t="shared" si="861"/>
        <v>1662848.46</v>
      </c>
      <c r="P376" s="305">
        <f>SUM(D376:O376)</f>
        <v>19954181.520000003</v>
      </c>
    </row>
    <row r="377" spans="2:16" x14ac:dyDescent="0.2">
      <c r="B377" s="726" t="s">
        <v>310</v>
      </c>
      <c r="C377" s="300" t="s">
        <v>45</v>
      </c>
      <c r="D377" s="278">
        <v>147.16</v>
      </c>
      <c r="E377" s="301">
        <f>+D377</f>
        <v>147.16</v>
      </c>
      <c r="F377" s="301">
        <f t="shared" ref="F377:O377" si="862">+E377</f>
        <v>147.16</v>
      </c>
      <c r="G377" s="301">
        <f t="shared" si="862"/>
        <v>147.16</v>
      </c>
      <c r="H377" s="301">
        <f t="shared" si="862"/>
        <v>147.16</v>
      </c>
      <c r="I377" s="301">
        <f t="shared" si="862"/>
        <v>147.16</v>
      </c>
      <c r="J377" s="301">
        <f t="shared" si="862"/>
        <v>147.16</v>
      </c>
      <c r="K377" s="301">
        <f t="shared" si="862"/>
        <v>147.16</v>
      </c>
      <c r="L377" s="301">
        <f t="shared" si="862"/>
        <v>147.16</v>
      </c>
      <c r="M377" s="301">
        <f t="shared" si="862"/>
        <v>147.16</v>
      </c>
      <c r="N377" s="301">
        <f t="shared" si="862"/>
        <v>147.16</v>
      </c>
      <c r="O377" s="301">
        <f t="shared" si="862"/>
        <v>147.16</v>
      </c>
      <c r="P377" s="302">
        <f>+O377</f>
        <v>147.16</v>
      </c>
    </row>
    <row r="378" spans="2:16" ht="15" x14ac:dyDescent="0.25">
      <c r="B378" s="727" t="s">
        <v>315</v>
      </c>
      <c r="C378" s="300" t="s">
        <v>45</v>
      </c>
      <c r="D378" s="304">
        <f>D374*D377</f>
        <v>183464.372</v>
      </c>
      <c r="E378" s="304">
        <f t="shared" ref="E378:O378" si="863">E374*E377</f>
        <v>183464.372</v>
      </c>
      <c r="F378" s="304">
        <f t="shared" si="863"/>
        <v>183464.372</v>
      </c>
      <c r="G378" s="304">
        <f t="shared" si="863"/>
        <v>183464.372</v>
      </c>
      <c r="H378" s="304">
        <f t="shared" si="863"/>
        <v>183464.372</v>
      </c>
      <c r="I378" s="304">
        <f t="shared" si="863"/>
        <v>183464.372</v>
      </c>
      <c r="J378" s="304">
        <f t="shared" si="863"/>
        <v>183464.372</v>
      </c>
      <c r="K378" s="304">
        <f t="shared" si="863"/>
        <v>183464.372</v>
      </c>
      <c r="L378" s="304">
        <f t="shared" si="863"/>
        <v>183464.372</v>
      </c>
      <c r="M378" s="304">
        <f t="shared" si="863"/>
        <v>183464.372</v>
      </c>
      <c r="N378" s="304">
        <f t="shared" si="863"/>
        <v>183464.372</v>
      </c>
      <c r="O378" s="304">
        <f t="shared" si="863"/>
        <v>183464.372</v>
      </c>
      <c r="P378" s="305">
        <f>SUM(D378:O378)</f>
        <v>2201572.4640000002</v>
      </c>
    </row>
    <row r="379" spans="2:16" x14ac:dyDescent="0.2">
      <c r="B379" s="726" t="s">
        <v>311</v>
      </c>
      <c r="C379" s="300" t="s">
        <v>45</v>
      </c>
      <c r="D379" s="278">
        <v>0</v>
      </c>
      <c r="E379" s="301">
        <f>+D379</f>
        <v>0</v>
      </c>
      <c r="F379" s="301">
        <f t="shared" ref="F379:O379" si="864">+E379</f>
        <v>0</v>
      </c>
      <c r="G379" s="301">
        <f t="shared" si="864"/>
        <v>0</v>
      </c>
      <c r="H379" s="301">
        <f t="shared" si="864"/>
        <v>0</v>
      </c>
      <c r="I379" s="301">
        <f t="shared" si="864"/>
        <v>0</v>
      </c>
      <c r="J379" s="301">
        <f t="shared" si="864"/>
        <v>0</v>
      </c>
      <c r="K379" s="301">
        <f t="shared" si="864"/>
        <v>0</v>
      </c>
      <c r="L379" s="301">
        <f t="shared" si="864"/>
        <v>0</v>
      </c>
      <c r="M379" s="301">
        <f t="shared" si="864"/>
        <v>0</v>
      </c>
      <c r="N379" s="301">
        <f t="shared" si="864"/>
        <v>0</v>
      </c>
      <c r="O379" s="301">
        <f t="shared" si="864"/>
        <v>0</v>
      </c>
      <c r="P379" s="302">
        <f>+O379</f>
        <v>0</v>
      </c>
    </row>
    <row r="380" spans="2:16" ht="15" x14ac:dyDescent="0.25">
      <c r="B380" s="727" t="s">
        <v>315</v>
      </c>
      <c r="C380" s="300" t="s">
        <v>45</v>
      </c>
      <c r="D380" s="304">
        <f>D374*(D379)</f>
        <v>0</v>
      </c>
      <c r="E380" s="304">
        <f t="shared" ref="E380:O380" si="865">E374*(E379)</f>
        <v>0</v>
      </c>
      <c r="F380" s="304">
        <f t="shared" si="865"/>
        <v>0</v>
      </c>
      <c r="G380" s="304">
        <f t="shared" si="865"/>
        <v>0</v>
      </c>
      <c r="H380" s="304">
        <f t="shared" si="865"/>
        <v>0</v>
      </c>
      <c r="I380" s="304">
        <f t="shared" si="865"/>
        <v>0</v>
      </c>
      <c r="J380" s="304">
        <f t="shared" si="865"/>
        <v>0</v>
      </c>
      <c r="K380" s="304">
        <f t="shared" si="865"/>
        <v>0</v>
      </c>
      <c r="L380" s="304">
        <f t="shared" si="865"/>
        <v>0</v>
      </c>
      <c r="M380" s="304">
        <f t="shared" si="865"/>
        <v>0</v>
      </c>
      <c r="N380" s="304">
        <f t="shared" si="865"/>
        <v>0</v>
      </c>
      <c r="O380" s="304">
        <f t="shared" si="865"/>
        <v>0</v>
      </c>
      <c r="P380" s="305">
        <f>SUM(D380:O380)</f>
        <v>0</v>
      </c>
    </row>
    <row r="381" spans="2:16" ht="15" x14ac:dyDescent="0.25">
      <c r="B381" s="293" t="str">
        <f>+Ingresos!B372</f>
        <v>Uchuva/Capacho</v>
      </c>
      <c r="C381" s="294"/>
      <c r="D381" s="295"/>
      <c r="E381" s="295"/>
      <c r="F381" s="295"/>
      <c r="G381" s="295"/>
      <c r="H381" s="295"/>
      <c r="I381" s="295"/>
      <c r="J381" s="295"/>
      <c r="K381" s="295"/>
      <c r="L381" s="295"/>
      <c r="M381" s="295"/>
      <c r="N381" s="295"/>
      <c r="O381" s="295"/>
      <c r="P381" s="295"/>
    </row>
    <row r="382" spans="2:16" x14ac:dyDescent="0.2">
      <c r="B382" s="726" t="s">
        <v>159</v>
      </c>
      <c r="C382" s="296" t="s">
        <v>372</v>
      </c>
      <c r="D382" s="297">
        <f>+Ingresos!C373</f>
        <v>81.31</v>
      </c>
      <c r="E382" s="297">
        <f>+Ingresos!D373</f>
        <v>81.31</v>
      </c>
      <c r="F382" s="297">
        <f>+Ingresos!E373</f>
        <v>81.31</v>
      </c>
      <c r="G382" s="297">
        <f>+Ingresos!F373</f>
        <v>81.31</v>
      </c>
      <c r="H382" s="297">
        <f>+Ingresos!G373</f>
        <v>81.31</v>
      </c>
      <c r="I382" s="297">
        <f>+Ingresos!H373</f>
        <v>81.31</v>
      </c>
      <c r="J382" s="297">
        <f>+Ingresos!I373</f>
        <v>81.31</v>
      </c>
      <c r="K382" s="297">
        <f>+Ingresos!J373</f>
        <v>81.31</v>
      </c>
      <c r="L382" s="297">
        <f>+Ingresos!K373</f>
        <v>81.31</v>
      </c>
      <c r="M382" s="297">
        <f>+Ingresos!L373</f>
        <v>81.31</v>
      </c>
      <c r="N382" s="297">
        <f>+Ingresos!M373</f>
        <v>81.31</v>
      </c>
      <c r="O382" s="297">
        <f>+Ingresos!N373</f>
        <v>81.31</v>
      </c>
      <c r="P382" s="298">
        <f>SUM(D382:O382)</f>
        <v>975.7199999999998</v>
      </c>
    </row>
    <row r="383" spans="2:16" x14ac:dyDescent="0.2">
      <c r="B383" s="726" t="s">
        <v>309</v>
      </c>
      <c r="C383" s="300" t="s">
        <v>45</v>
      </c>
      <c r="D383" s="278">
        <f>Ingresos!C376*0.65</f>
        <v>2134.08</v>
      </c>
      <c r="E383" s="301">
        <f>+D383</f>
        <v>2134.08</v>
      </c>
      <c r="F383" s="301">
        <f t="shared" ref="F383:O383" si="866">+E383</f>
        <v>2134.08</v>
      </c>
      <c r="G383" s="301">
        <f t="shared" si="866"/>
        <v>2134.08</v>
      </c>
      <c r="H383" s="301">
        <f t="shared" si="866"/>
        <v>2134.08</v>
      </c>
      <c r="I383" s="301">
        <f t="shared" si="866"/>
        <v>2134.08</v>
      </c>
      <c r="J383" s="301">
        <f t="shared" si="866"/>
        <v>2134.08</v>
      </c>
      <c r="K383" s="301">
        <f t="shared" si="866"/>
        <v>2134.08</v>
      </c>
      <c r="L383" s="301">
        <f t="shared" si="866"/>
        <v>2134.08</v>
      </c>
      <c r="M383" s="301">
        <f t="shared" si="866"/>
        <v>2134.08</v>
      </c>
      <c r="N383" s="301">
        <f t="shared" si="866"/>
        <v>2134.08</v>
      </c>
      <c r="O383" s="301">
        <f t="shared" si="866"/>
        <v>2134.08</v>
      </c>
      <c r="P383" s="302">
        <f>+O383</f>
        <v>2134.08</v>
      </c>
    </row>
    <row r="384" spans="2:16" ht="15" x14ac:dyDescent="0.25">
      <c r="B384" s="727" t="s">
        <v>315</v>
      </c>
      <c r="C384" s="300" t="s">
        <v>45</v>
      </c>
      <c r="D384" s="304">
        <f>D382*D383</f>
        <v>173522.0448</v>
      </c>
      <c r="E384" s="304">
        <f t="shared" ref="E384:O384" si="867">E382*E383</f>
        <v>173522.0448</v>
      </c>
      <c r="F384" s="304">
        <f t="shared" si="867"/>
        <v>173522.0448</v>
      </c>
      <c r="G384" s="304">
        <f t="shared" si="867"/>
        <v>173522.0448</v>
      </c>
      <c r="H384" s="304">
        <f t="shared" si="867"/>
        <v>173522.0448</v>
      </c>
      <c r="I384" s="304">
        <f t="shared" si="867"/>
        <v>173522.0448</v>
      </c>
      <c r="J384" s="304">
        <f t="shared" si="867"/>
        <v>173522.0448</v>
      </c>
      <c r="K384" s="304">
        <f t="shared" si="867"/>
        <v>173522.0448</v>
      </c>
      <c r="L384" s="304">
        <f t="shared" si="867"/>
        <v>173522.0448</v>
      </c>
      <c r="M384" s="304">
        <f t="shared" si="867"/>
        <v>173522.0448</v>
      </c>
      <c r="N384" s="304">
        <f t="shared" si="867"/>
        <v>173522.0448</v>
      </c>
      <c r="O384" s="304">
        <f t="shared" si="867"/>
        <v>173522.0448</v>
      </c>
      <c r="P384" s="305">
        <f>SUM(D384:O384)</f>
        <v>2082264.5376000002</v>
      </c>
    </row>
    <row r="385" spans="1:16" x14ac:dyDescent="0.2">
      <c r="B385" s="726" t="s">
        <v>310</v>
      </c>
      <c r="C385" s="300" t="s">
        <v>45</v>
      </c>
      <c r="D385" s="278">
        <v>283.95999999999998</v>
      </c>
      <c r="E385" s="301">
        <f>+D385</f>
        <v>283.95999999999998</v>
      </c>
      <c r="F385" s="301">
        <f t="shared" ref="F385:O385" si="868">+E385</f>
        <v>283.95999999999998</v>
      </c>
      <c r="G385" s="301">
        <f t="shared" si="868"/>
        <v>283.95999999999998</v>
      </c>
      <c r="H385" s="301">
        <f t="shared" si="868"/>
        <v>283.95999999999998</v>
      </c>
      <c r="I385" s="301">
        <f t="shared" si="868"/>
        <v>283.95999999999998</v>
      </c>
      <c r="J385" s="301">
        <f t="shared" si="868"/>
        <v>283.95999999999998</v>
      </c>
      <c r="K385" s="301">
        <f t="shared" si="868"/>
        <v>283.95999999999998</v>
      </c>
      <c r="L385" s="301">
        <f t="shared" si="868"/>
        <v>283.95999999999998</v>
      </c>
      <c r="M385" s="301">
        <f t="shared" si="868"/>
        <v>283.95999999999998</v>
      </c>
      <c r="N385" s="301">
        <f t="shared" si="868"/>
        <v>283.95999999999998</v>
      </c>
      <c r="O385" s="301">
        <f t="shared" si="868"/>
        <v>283.95999999999998</v>
      </c>
      <c r="P385" s="302">
        <f>+O385</f>
        <v>283.95999999999998</v>
      </c>
    </row>
    <row r="386" spans="1:16" ht="15" x14ac:dyDescent="0.25">
      <c r="B386" s="727" t="s">
        <v>315</v>
      </c>
      <c r="C386" s="300" t="s">
        <v>45</v>
      </c>
      <c r="D386" s="304">
        <f>D382*D385</f>
        <v>23088.7876</v>
      </c>
      <c r="E386" s="304">
        <f t="shared" ref="E386:O386" si="869">E382*E385</f>
        <v>23088.7876</v>
      </c>
      <c r="F386" s="304">
        <f t="shared" si="869"/>
        <v>23088.7876</v>
      </c>
      <c r="G386" s="304">
        <f t="shared" si="869"/>
        <v>23088.7876</v>
      </c>
      <c r="H386" s="304">
        <f t="shared" si="869"/>
        <v>23088.7876</v>
      </c>
      <c r="I386" s="304">
        <f t="shared" si="869"/>
        <v>23088.7876</v>
      </c>
      <c r="J386" s="304">
        <f t="shared" si="869"/>
        <v>23088.7876</v>
      </c>
      <c r="K386" s="304">
        <f t="shared" si="869"/>
        <v>23088.7876</v>
      </c>
      <c r="L386" s="304">
        <f t="shared" si="869"/>
        <v>23088.7876</v>
      </c>
      <c r="M386" s="304">
        <f t="shared" si="869"/>
        <v>23088.7876</v>
      </c>
      <c r="N386" s="304">
        <f t="shared" si="869"/>
        <v>23088.7876</v>
      </c>
      <c r="O386" s="304">
        <f t="shared" si="869"/>
        <v>23088.7876</v>
      </c>
      <c r="P386" s="305">
        <f>SUM(D386:O386)</f>
        <v>277065.45120000007</v>
      </c>
    </row>
    <row r="387" spans="1:16" x14ac:dyDescent="0.2">
      <c r="B387" s="726" t="s">
        <v>311</v>
      </c>
      <c r="C387" s="300" t="s">
        <v>45</v>
      </c>
      <c r="D387" s="278">
        <v>0</v>
      </c>
      <c r="E387" s="301">
        <f>+D387</f>
        <v>0</v>
      </c>
      <c r="F387" s="301">
        <f t="shared" ref="F387:O387" si="870">+E387</f>
        <v>0</v>
      </c>
      <c r="G387" s="301">
        <f t="shared" si="870"/>
        <v>0</v>
      </c>
      <c r="H387" s="301">
        <f t="shared" si="870"/>
        <v>0</v>
      </c>
      <c r="I387" s="301">
        <f t="shared" si="870"/>
        <v>0</v>
      </c>
      <c r="J387" s="301">
        <f t="shared" si="870"/>
        <v>0</v>
      </c>
      <c r="K387" s="301">
        <f t="shared" si="870"/>
        <v>0</v>
      </c>
      <c r="L387" s="301">
        <f t="shared" si="870"/>
        <v>0</v>
      </c>
      <c r="M387" s="301">
        <f t="shared" si="870"/>
        <v>0</v>
      </c>
      <c r="N387" s="301">
        <f t="shared" si="870"/>
        <v>0</v>
      </c>
      <c r="O387" s="301">
        <f t="shared" si="870"/>
        <v>0</v>
      </c>
      <c r="P387" s="302">
        <f>+O387</f>
        <v>0</v>
      </c>
    </row>
    <row r="388" spans="1:16" ht="15" x14ac:dyDescent="0.25">
      <c r="B388" s="727" t="s">
        <v>315</v>
      </c>
      <c r="C388" s="300" t="s">
        <v>45</v>
      </c>
      <c r="D388" s="304">
        <f>D382*(D387)</f>
        <v>0</v>
      </c>
      <c r="E388" s="304">
        <f t="shared" ref="E388:O388" si="871">E382*(E387)</f>
        <v>0</v>
      </c>
      <c r="F388" s="304">
        <f t="shared" si="871"/>
        <v>0</v>
      </c>
      <c r="G388" s="304">
        <f t="shared" si="871"/>
        <v>0</v>
      </c>
      <c r="H388" s="304">
        <f t="shared" si="871"/>
        <v>0</v>
      </c>
      <c r="I388" s="304">
        <f t="shared" si="871"/>
        <v>0</v>
      </c>
      <c r="J388" s="304">
        <f t="shared" si="871"/>
        <v>0</v>
      </c>
      <c r="K388" s="304">
        <f t="shared" si="871"/>
        <v>0</v>
      </c>
      <c r="L388" s="304">
        <f t="shared" si="871"/>
        <v>0</v>
      </c>
      <c r="M388" s="304">
        <f t="shared" si="871"/>
        <v>0</v>
      </c>
      <c r="N388" s="304">
        <f t="shared" si="871"/>
        <v>0</v>
      </c>
      <c r="O388" s="304">
        <f t="shared" si="871"/>
        <v>0</v>
      </c>
      <c r="P388" s="305">
        <f>SUM(D388:O388)</f>
        <v>0</v>
      </c>
    </row>
    <row r="392" spans="1:16" x14ac:dyDescent="0.2">
      <c r="B392" s="776" t="str">
        <f>Supuestos!B8</f>
        <v>Centro de acopio la Bonanza Campesina</v>
      </c>
      <c r="C392" s="777"/>
      <c r="D392" s="777"/>
      <c r="E392" s="777"/>
      <c r="F392" s="777"/>
      <c r="G392" s="777"/>
      <c r="H392" s="777"/>
      <c r="I392" s="777"/>
    </row>
    <row r="393" spans="1:16" x14ac:dyDescent="0.2">
      <c r="B393" s="776" t="s">
        <v>192</v>
      </c>
      <c r="C393" s="777"/>
      <c r="D393" s="777"/>
      <c r="E393" s="777"/>
      <c r="F393" s="777"/>
      <c r="G393" s="777"/>
      <c r="H393" s="777"/>
      <c r="I393" s="777"/>
    </row>
    <row r="394" spans="1:16" x14ac:dyDescent="0.2">
      <c r="B394" s="309"/>
      <c r="C394" s="309"/>
      <c r="D394" s="310"/>
      <c r="E394" s="310"/>
      <c r="F394" s="309"/>
      <c r="G394" s="309"/>
      <c r="H394" s="309"/>
    </row>
    <row r="395" spans="1:16" x14ac:dyDescent="0.2">
      <c r="B395" s="281" t="s">
        <v>193</v>
      </c>
      <c r="C395" s="281" t="s">
        <v>157</v>
      </c>
      <c r="D395" s="137" t="s">
        <v>325</v>
      </c>
      <c r="E395" s="137" t="s">
        <v>326</v>
      </c>
      <c r="F395" s="137" t="s">
        <v>327</v>
      </c>
      <c r="G395" s="137" t="s">
        <v>328</v>
      </c>
      <c r="H395" s="137" t="s">
        <v>329</v>
      </c>
      <c r="I395" s="137" t="s">
        <v>393</v>
      </c>
    </row>
    <row r="396" spans="1:16" s="20" customFormat="1" x14ac:dyDescent="0.2">
      <c r="A396" s="287"/>
      <c r="B396" s="281"/>
      <c r="C396" s="281"/>
      <c r="D396" s="282"/>
      <c r="E396" s="282"/>
      <c r="F396" s="282"/>
      <c r="G396" s="282"/>
      <c r="H396" s="282"/>
      <c r="I396" s="282"/>
      <c r="J396" s="287"/>
      <c r="K396" s="287"/>
      <c r="L396" s="287"/>
      <c r="M396" s="287"/>
      <c r="N396" s="287"/>
      <c r="O396" s="287"/>
      <c r="P396" s="287"/>
    </row>
    <row r="397" spans="1:16" x14ac:dyDescent="0.2">
      <c r="B397" s="281" t="s">
        <v>158</v>
      </c>
      <c r="C397" s="281"/>
      <c r="D397" s="311" t="s">
        <v>197</v>
      </c>
      <c r="E397" s="311">
        <f>(E399-D399)/D399</f>
        <v>-0.19151669080746286</v>
      </c>
      <c r="F397" s="311">
        <f>(F399-E399)/E399</f>
        <v>7.3099542818637578E-2</v>
      </c>
      <c r="G397" s="311">
        <f>(G399-F399)/F399</f>
        <v>7.9399780367413908E-2</v>
      </c>
      <c r="H397" s="311">
        <f>(H399-G399)/G399</f>
        <v>8.5680726047022981E-2</v>
      </c>
      <c r="I397" s="311">
        <f>(I399-H399)/H399</f>
        <v>9.2640016014843202E-2</v>
      </c>
    </row>
    <row r="398" spans="1:16" hidden="1" x14ac:dyDescent="0.2">
      <c r="B398" s="283" t="s">
        <v>196</v>
      </c>
      <c r="C398" s="283"/>
      <c r="D398" s="312">
        <f>IF(ISERROR(D399/Ingresos!C758),0,(D399/Ingresos!C758))</f>
        <v>0.70141160592736962</v>
      </c>
      <c r="E398" s="312">
        <f>IF(ISERROR(E399/Ingresos!D758),0,(E399/Ingresos!D758))</f>
        <v>0.52787489559747258</v>
      </c>
      <c r="F398" s="312">
        <f>IF(ISERROR(F399/Ingresos!E758),0,(F399/Ingresos!E758))</f>
        <v>0.52577268139571121</v>
      </c>
      <c r="G398" s="312">
        <f>IF(ISERROR(G399/Ingresos!F758),0,(G399/Ingresos!F758))</f>
        <v>0.52371608002323145</v>
      </c>
      <c r="H398" s="312">
        <f>IF(ISERROR(H399/Ingresos!G758),0,(H399/Ingresos!G758))</f>
        <v>0.52170050025030534</v>
      </c>
      <c r="I398" s="312">
        <f>IF(ISERROR(I399/Ingresos!H758),0,(I399/Ingresos!H758))</f>
        <v>0.52004661997311941</v>
      </c>
    </row>
    <row r="399" spans="1:16" x14ac:dyDescent="0.2">
      <c r="B399" s="285" t="s">
        <v>194</v>
      </c>
      <c r="C399" s="285"/>
      <c r="D399" s="286">
        <f>SUM(D401:D404)</f>
        <v>1053324916.668</v>
      </c>
      <c r="E399" s="286">
        <f t="shared" ref="E399:I399" si="872">SUM(E401:E404)</f>
        <v>851595614.28269804</v>
      </c>
      <c r="F399" s="286">
        <f t="shared" si="872"/>
        <v>913846864.35312009</v>
      </c>
      <c r="G399" s="286">
        <f t="shared" si="872"/>
        <v>986406104.67220771</v>
      </c>
      <c r="H399" s="286">
        <f t="shared" si="872"/>
        <v>1070922095.8977382</v>
      </c>
      <c r="I399" s="286">
        <f t="shared" si="872"/>
        <v>1170132336.0123541</v>
      </c>
      <c r="J399" s="313"/>
      <c r="K399" s="313"/>
      <c r="L399" s="313"/>
      <c r="M399" s="313"/>
      <c r="N399" s="313"/>
      <c r="O399" s="313" t="s">
        <v>330</v>
      </c>
    </row>
    <row r="400" spans="1:16" x14ac:dyDescent="0.2">
      <c r="B400" s="288"/>
      <c r="C400" s="281"/>
      <c r="D400" s="289"/>
      <c r="E400" s="289"/>
      <c r="F400" s="289"/>
      <c r="G400" s="289"/>
      <c r="H400" s="289"/>
      <c r="I400" s="289"/>
      <c r="J400" s="314"/>
      <c r="K400" s="314"/>
      <c r="L400" s="314"/>
      <c r="M400" s="314"/>
      <c r="N400" s="314"/>
      <c r="O400" s="314"/>
      <c r="P400" s="315"/>
    </row>
    <row r="401" spans="1:16" x14ac:dyDescent="0.2">
      <c r="B401" s="288" t="s">
        <v>313</v>
      </c>
      <c r="C401" s="281"/>
      <c r="D401" s="289">
        <f>+Nomina!AN25+Nomina!AN40</f>
        <v>75371097.600000009</v>
      </c>
      <c r="E401" s="289">
        <f>Nomina!F99+Nomina!F114</f>
        <v>77858343.820799991</v>
      </c>
      <c r="F401" s="289">
        <f>Nomina!I99+Nomina!I114</f>
        <v>80661244.19834879</v>
      </c>
      <c r="G401" s="289">
        <f>Nomina!L99+Nomina!L114</f>
        <v>84049016.454679444</v>
      </c>
      <c r="H401" s="289">
        <f>Nomina!O99+Nomina!O114</f>
        <v>88083369.244504064</v>
      </c>
      <c r="I401" s="289">
        <f>Nomina!R99+Nomina!R114</f>
        <v>92839871.183707297</v>
      </c>
      <c r="J401" s="314"/>
      <c r="K401" s="314"/>
      <c r="L401" s="314"/>
      <c r="M401" s="314"/>
      <c r="N401" s="314"/>
      <c r="O401" s="314"/>
      <c r="P401" s="315"/>
    </row>
    <row r="402" spans="1:16" x14ac:dyDescent="0.2">
      <c r="B402" s="288" t="s">
        <v>301</v>
      </c>
      <c r="C402" s="290"/>
      <c r="D402" s="289">
        <f>+D410+D424+D438+D452+D466+D480+D494+D508+D522+D536+D550+D564+D578+D592+D606+D620+D634+D648+D662+D676+D690+D704+D718+D732+D746+D760+D774+D788+D802+D816+D830+D844+D858+D872+D886+D900+D914+D928+D942+D956+D970+D984+D998+D1012+D1026+D1040</f>
        <v>577003329.12371993</v>
      </c>
      <c r="E402" s="289">
        <f>+E410+E424+E438+E452+E466+E480+E494+E508+E522+E536+E550+E564+E578+E592+E606+E620+E634+E648+E662+E676+E690+E704+E718+E732+E746+E760+E774+E788+E802+E816+E830+E844+E858+E872+E886+E900+E914+E928+E942+E956+E970+E984+E998+E1012+E1026+E1040</f>
        <v>544928569.39959311</v>
      </c>
      <c r="F402" s="289">
        <f t="shared" ref="F402:I402" si="873">+F410+F424+F438+F452+F466+F480+F494+F508+F522+F536+F550+F564+F578+F592+F606+F620+F634+F648+F662+F676+F690+F704+F718+F732+F746+F760+F774+F788+F802+F816+F830+F844+F858+F872+F886+F900+F914+F928+F942+F956+F970+F984+F998+F1012+F1026+F1040</f>
        <v>586674551.21070528</v>
      </c>
      <c r="G402" s="289">
        <f t="shared" si="873"/>
        <v>635230169.04935932</v>
      </c>
      <c r="H402" s="289">
        <f t="shared" si="873"/>
        <v>691713194.12006164</v>
      </c>
      <c r="I402" s="289">
        <f t="shared" si="873"/>
        <v>758192187.30557072</v>
      </c>
      <c r="J402" s="314"/>
      <c r="K402" s="314"/>
      <c r="L402" s="314"/>
      <c r="M402" s="314"/>
      <c r="N402" s="314"/>
      <c r="O402" s="314"/>
      <c r="P402" s="315"/>
    </row>
    <row r="403" spans="1:16" x14ac:dyDescent="0.2">
      <c r="B403" s="288" t="s">
        <v>314</v>
      </c>
      <c r="C403" s="290"/>
      <c r="D403" s="289">
        <f>+D414+D428+D442+D456+D470+D484+D498+D512+D526+D540+D554+D568+D582+D596+D610+D624+D638+D652+D666+D680+D694+D708+D722+D736+D750+D764+D778+D792+D806+D820+D834+D848+D862+D876+D890+D904+D918+D932+D946+D960+D974+D988+D1002+D1016+D1030+D1044</f>
        <v>333943459.41204</v>
      </c>
      <c r="E403" s="289">
        <f>+E414+E428+E442+E456+E470+E484+E498+E512+E526+E540+E554+E568+E582+E596+E610+E624+E638+E652+E666+E680+E694+E708+E722+E736+E750+E764+E778+E792+E806+E820+E834+E848+E862+E876+E890+E904+E918+E932+E946+E960+E974+E988+E1002+E1016+E1030+E1044</f>
        <v>184818598.321639</v>
      </c>
      <c r="F403" s="289">
        <f t="shared" ref="F403:I403" si="874">+F414+F428+F442+F456+F470+F484+F498+F512+F526+F540+F554+F568+F582+F596+F610+F624+F638+F652+F666+F680+F694+F708+F722+F736+F750+F764+F778+F792+F806+F820+F834+F848+F862+F876+F890+F904+F918+F932+F946+F960+F974+F988+F1002+F1016+F1030+F1044</f>
        <v>199119308.08247671</v>
      </c>
      <c r="G403" s="289">
        <f t="shared" si="874"/>
        <v>215775048.4830091</v>
      </c>
      <c r="H403" s="289">
        <f t="shared" si="874"/>
        <v>235163488.06996372</v>
      </c>
      <c r="I403" s="289">
        <f t="shared" si="874"/>
        <v>257764921.24871784</v>
      </c>
      <c r="J403" s="314"/>
      <c r="K403" s="314"/>
      <c r="L403" s="314"/>
      <c r="M403" s="314"/>
      <c r="N403" s="314"/>
      <c r="O403" s="314"/>
      <c r="P403" s="315"/>
    </row>
    <row r="404" spans="1:16" x14ac:dyDescent="0.2">
      <c r="B404" s="288" t="s">
        <v>316</v>
      </c>
      <c r="C404" s="290"/>
      <c r="D404" s="289">
        <f>+D418+D432+D446+D460+D474+D488+D502+D516+D530+D544+D558+D572+D586+D600+D614+D628+D642+D656+D670+D684+D698+D712+D726+D740+D754+D768+D782+D796+D810+D824+D838+D852+D866+D880+D894+D908+D922+D936+D950+D964+D978+D992+D1006+D1020+D1034+D1048</f>
        <v>67007030.532239988</v>
      </c>
      <c r="E404" s="289">
        <f>+E418+E432+E446+E460+E474+E488+E502+E516+E530+E544+E558+E572+E586+E600+E614+E628+E642+E656+E670+E684+E698+E712+E726+E740+E754+E768+E782+E796+E810+E824+E838+E852+E866+E880+E894+E908+E922+E936+E950+E964+E978+E992+E1006+E1020+E1034+E1048</f>
        <v>43990102.740666002</v>
      </c>
      <c r="F404" s="289">
        <f>+F418+F432+F446+F460+F474+F488+F502+F516+F530+F544+F558+F572+F586+F600+F614+F628+F642+F656+F670+F684+F698+F712+F726+F740+F754+F768+F782+F796+F810+F824+F838+F852+F866+F880+F894+F908+F922+F936+F950+F964+F978+F992+F1006+F1020+F1034+F1048</f>
        <v>47391760.861589327</v>
      </c>
      <c r="G404" s="289">
        <f t="shared" ref="G404:I404" si="875">+G418+G432+G446+G460+G474+G488+G502+G516+G530+G544+G558+G572+G586+G600+G614+G628+G642+G656+G670+G684+G698+G712+G726+G740+G754+G768+G782+G796+G810+G824+G838+G852+G866+G880+G894+G908+G922+G936+G950+G964+G978+G992+G1006+G1020+G1034+G1048</f>
        <v>51351870.685159825</v>
      </c>
      <c r="H404" s="289">
        <f t="shared" si="875"/>
        <v>55962044.463208795</v>
      </c>
      <c r="I404" s="289">
        <f t="shared" si="875"/>
        <v>61335356.27435825</v>
      </c>
      <c r="J404" s="314"/>
      <c r="K404" s="314"/>
      <c r="L404" s="314"/>
      <c r="M404" s="314"/>
      <c r="N404" s="314"/>
      <c r="O404" s="314"/>
      <c r="P404" s="315"/>
    </row>
    <row r="405" spans="1:16" x14ac:dyDescent="0.2">
      <c r="B405" s="316" t="str">
        <f>+Ingresos!B389</f>
        <v>Arracacha</v>
      </c>
      <c r="C405" s="317"/>
      <c r="D405" s="318"/>
      <c r="E405" s="318"/>
      <c r="F405" s="318"/>
      <c r="G405" s="318"/>
      <c r="H405" s="318"/>
      <c r="I405" s="318"/>
      <c r="J405" s="315"/>
      <c r="K405" s="315"/>
      <c r="L405" s="315"/>
      <c r="M405" s="315"/>
      <c r="N405" s="315"/>
      <c r="O405" s="315"/>
      <c r="P405" s="315"/>
    </row>
    <row r="406" spans="1:16" s="65" customFormat="1" x14ac:dyDescent="0.2">
      <c r="A406" s="291"/>
      <c r="B406" s="299" t="s">
        <v>159</v>
      </c>
      <c r="C406" s="319"/>
      <c r="D406" s="302">
        <f>+P22</f>
        <v>435.60000000000008</v>
      </c>
      <c r="E406" s="302">
        <f>Ingresos!D390</f>
        <v>453</v>
      </c>
      <c r="F406" s="302">
        <f>Ingresos!E390</f>
        <v>471</v>
      </c>
      <c r="G406" s="302">
        <f>Ingresos!F390</f>
        <v>489</v>
      </c>
      <c r="H406" s="302">
        <f>Ingresos!G390</f>
        <v>508</v>
      </c>
      <c r="I406" s="302">
        <f>Ingresos!H390</f>
        <v>528</v>
      </c>
      <c r="J406" s="291"/>
      <c r="K406" s="291"/>
      <c r="L406" s="291"/>
      <c r="M406" s="291"/>
      <c r="N406" s="291"/>
      <c r="O406" s="291"/>
      <c r="P406" s="291"/>
    </row>
    <row r="407" spans="1:16" x14ac:dyDescent="0.2">
      <c r="B407" s="299" t="s">
        <v>319</v>
      </c>
      <c r="C407" s="306" t="s">
        <v>45</v>
      </c>
      <c r="D407" s="302">
        <f>+P23</f>
        <v>2056.0540000000001</v>
      </c>
      <c r="E407" s="302">
        <f>+D407*(1+E408)*(1+E409)</f>
        <v>2123.9037819999999</v>
      </c>
      <c r="F407" s="302">
        <f>+E407*(1+F408)*(1+F409)</f>
        <v>2200.3643181520001</v>
      </c>
      <c r="G407" s="302">
        <f>+F407*(1+G408)*(1+G409)</f>
        <v>2292.7796195143842</v>
      </c>
      <c r="H407" s="302">
        <f>+G407*(1+H408)*(1+H409)</f>
        <v>2402.8330412510745</v>
      </c>
      <c r="I407" s="302">
        <f>+H407*(1+I408)*(1+I409)</f>
        <v>2532.5860254786326</v>
      </c>
    </row>
    <row r="408" spans="1:16" x14ac:dyDescent="0.2">
      <c r="B408" s="299" t="s">
        <v>318</v>
      </c>
      <c r="C408" s="306" t="s">
        <v>160</v>
      </c>
      <c r="D408" s="320"/>
      <c r="E408" s="321">
        <f>Supuestos!D13</f>
        <v>3.3000000000000002E-2</v>
      </c>
      <c r="F408" s="321">
        <f>Supuestos!E13</f>
        <v>3.5999999999999997E-2</v>
      </c>
      <c r="G408" s="321">
        <f>Supuestos!F13</f>
        <v>4.2000000000000003E-2</v>
      </c>
      <c r="H408" s="321">
        <f>Supuestos!G13</f>
        <v>4.8000000000000001E-2</v>
      </c>
      <c r="I408" s="321">
        <f>Supuestos!H13</f>
        <v>5.3999999999999999E-2</v>
      </c>
    </row>
    <row r="409" spans="1:16" x14ac:dyDescent="0.2">
      <c r="B409" s="299" t="s">
        <v>305</v>
      </c>
      <c r="C409" s="300" t="s">
        <v>373</v>
      </c>
      <c r="D409" s="320"/>
      <c r="E409" s="279"/>
      <c r="F409" s="279"/>
      <c r="G409" s="279"/>
      <c r="H409" s="279"/>
      <c r="I409" s="279"/>
    </row>
    <row r="410" spans="1:16" ht="15" x14ac:dyDescent="0.25">
      <c r="B410" s="322" t="s">
        <v>317</v>
      </c>
      <c r="C410" s="306" t="s">
        <v>45</v>
      </c>
      <c r="D410" s="304">
        <f>D406*D407</f>
        <v>895617.12240000023</v>
      </c>
      <c r="E410" s="304">
        <f t="shared" ref="E410:I410" si="876">E406*E407</f>
        <v>962128.41324599995</v>
      </c>
      <c r="F410" s="304">
        <f t="shared" si="876"/>
        <v>1036371.593849592</v>
      </c>
      <c r="G410" s="304">
        <f t="shared" si="876"/>
        <v>1121169.2339425338</v>
      </c>
      <c r="H410" s="304">
        <f t="shared" si="876"/>
        <v>1220639.1849555459</v>
      </c>
      <c r="I410" s="304">
        <f t="shared" si="876"/>
        <v>1337205.4214527181</v>
      </c>
    </row>
    <row r="411" spans="1:16" x14ac:dyDescent="0.2">
      <c r="B411" s="299" t="s">
        <v>320</v>
      </c>
      <c r="C411" s="306" t="s">
        <v>45</v>
      </c>
      <c r="D411" s="302">
        <f>+P25</f>
        <v>270.66000000000003</v>
      </c>
      <c r="E411" s="302">
        <f>+D411*(1+E412)*(1+E413)</f>
        <v>279.59178000000003</v>
      </c>
      <c r="F411" s="302">
        <f>+E411*(1+F412)*(1+F413)</f>
        <v>289.65708408000006</v>
      </c>
      <c r="G411" s="302">
        <f>+F411*(1+G412)*(1+G413)</f>
        <v>301.82268161136005</v>
      </c>
      <c r="H411" s="302">
        <f>+G411*(1+H412)*(1+H413)</f>
        <v>316.31017032870534</v>
      </c>
      <c r="I411" s="302">
        <f>+H411*(1+I412)*(1+I413)</f>
        <v>331.4930585044832</v>
      </c>
    </row>
    <row r="412" spans="1:16" x14ac:dyDescent="0.2">
      <c r="B412" s="299" t="s">
        <v>318</v>
      </c>
      <c r="C412" s="306" t="s">
        <v>160</v>
      </c>
      <c r="D412" s="320"/>
      <c r="E412" s="321">
        <f>+$E$408</f>
        <v>3.3000000000000002E-2</v>
      </c>
      <c r="F412" s="321">
        <f>+$F$408</f>
        <v>3.5999999999999997E-2</v>
      </c>
      <c r="G412" s="321">
        <f>+$G$408</f>
        <v>4.2000000000000003E-2</v>
      </c>
      <c r="H412" s="321">
        <f>+$H$408</f>
        <v>4.8000000000000001E-2</v>
      </c>
      <c r="I412" s="321">
        <f>+$H$408</f>
        <v>4.8000000000000001E-2</v>
      </c>
    </row>
    <row r="413" spans="1:16" x14ac:dyDescent="0.2">
      <c r="B413" s="299" t="s">
        <v>305</v>
      </c>
      <c r="C413" s="300" t="s">
        <v>373</v>
      </c>
      <c r="D413" s="320"/>
      <c r="E413" s="279"/>
      <c r="F413" s="279"/>
      <c r="G413" s="279"/>
      <c r="H413" s="279"/>
      <c r="I413" s="279"/>
    </row>
    <row r="414" spans="1:16" ht="15" x14ac:dyDescent="0.25">
      <c r="B414" s="322" t="s">
        <v>317</v>
      </c>
      <c r="C414" s="306" t="s">
        <v>45</v>
      </c>
      <c r="D414" s="323">
        <f t="shared" ref="D414:I414" si="877">+D411*D406</f>
        <v>117899.49600000003</v>
      </c>
      <c r="E414" s="323">
        <f t="shared" si="877"/>
        <v>126655.07634000001</v>
      </c>
      <c r="F414" s="323">
        <f t="shared" si="877"/>
        <v>136428.48660168002</v>
      </c>
      <c r="G414" s="323">
        <f t="shared" si="877"/>
        <v>147591.29130795508</v>
      </c>
      <c r="H414" s="323">
        <f t="shared" si="877"/>
        <v>160685.56652698232</v>
      </c>
      <c r="I414" s="323">
        <f t="shared" si="877"/>
        <v>175028.33489036714</v>
      </c>
    </row>
    <row r="415" spans="1:16" x14ac:dyDescent="0.2">
      <c r="B415" s="299" t="s">
        <v>321</v>
      </c>
      <c r="C415" s="306" t="s">
        <v>45</v>
      </c>
      <c r="D415" s="302">
        <f>+P27</f>
        <v>0</v>
      </c>
      <c r="E415" s="302">
        <f>+D415*(1+E416)*(1+E417)</f>
        <v>0</v>
      </c>
      <c r="F415" s="302">
        <f>+E415*(1+F416)*(1+F417)</f>
        <v>0</v>
      </c>
      <c r="G415" s="302">
        <f>+F415*(1+G416)*(1+G417)</f>
        <v>0</v>
      </c>
      <c r="H415" s="302">
        <f>+G415*(1+H416)*(1+H417)</f>
        <v>0</v>
      </c>
      <c r="I415" s="302">
        <f>+H415*(1+I416)*(1+I417)</f>
        <v>0</v>
      </c>
    </row>
    <row r="416" spans="1:16" x14ac:dyDescent="0.2">
      <c r="B416" s="299" t="s">
        <v>318</v>
      </c>
      <c r="C416" s="306" t="s">
        <v>160</v>
      </c>
      <c r="D416" s="320"/>
      <c r="E416" s="321">
        <f>+$E$408</f>
        <v>3.3000000000000002E-2</v>
      </c>
      <c r="F416" s="321">
        <f>+$F$408</f>
        <v>3.5999999999999997E-2</v>
      </c>
      <c r="G416" s="321">
        <f>+$G$408</f>
        <v>4.2000000000000003E-2</v>
      </c>
      <c r="H416" s="321">
        <f>+$H$408</f>
        <v>4.8000000000000001E-2</v>
      </c>
      <c r="I416" s="321">
        <f>+$H$408</f>
        <v>4.8000000000000001E-2</v>
      </c>
    </row>
    <row r="417" spans="2:9" x14ac:dyDescent="0.2">
      <c r="B417" s="299" t="s">
        <v>305</v>
      </c>
      <c r="C417" s="300" t="s">
        <v>373</v>
      </c>
      <c r="D417" s="320"/>
      <c r="E417" s="279"/>
      <c r="F417" s="279"/>
      <c r="G417" s="279"/>
      <c r="H417" s="279"/>
      <c r="I417" s="279"/>
    </row>
    <row r="418" spans="2:9" ht="15" x14ac:dyDescent="0.25">
      <c r="B418" s="322" t="s">
        <v>317</v>
      </c>
      <c r="C418" s="306" t="s">
        <v>45</v>
      </c>
      <c r="D418" s="323">
        <f t="shared" ref="D418:I418" si="878">+D415*D406</f>
        <v>0</v>
      </c>
      <c r="E418" s="323">
        <f t="shared" si="878"/>
        <v>0</v>
      </c>
      <c r="F418" s="323">
        <f t="shared" si="878"/>
        <v>0</v>
      </c>
      <c r="G418" s="323">
        <f t="shared" si="878"/>
        <v>0</v>
      </c>
      <c r="H418" s="323">
        <f t="shared" si="878"/>
        <v>0</v>
      </c>
      <c r="I418" s="323">
        <f t="shared" si="878"/>
        <v>0</v>
      </c>
    </row>
    <row r="419" spans="2:9" x14ac:dyDescent="0.2">
      <c r="B419" s="316" t="str">
        <f>+Ingresos!B397</f>
        <v>Repollo Blanco</v>
      </c>
      <c r="C419" s="317"/>
      <c r="D419" s="318"/>
      <c r="E419" s="318"/>
      <c r="F419" s="318"/>
      <c r="G419" s="318"/>
      <c r="H419" s="318"/>
      <c r="I419" s="318"/>
    </row>
    <row r="420" spans="2:9" x14ac:dyDescent="0.2">
      <c r="B420" s="299" t="s">
        <v>159</v>
      </c>
      <c r="C420" s="319"/>
      <c r="D420" s="302">
        <f>+P30</f>
        <v>7840.2000000000016</v>
      </c>
      <c r="E420" s="302">
        <f>+Ingresos!D398</f>
        <v>8153</v>
      </c>
      <c r="F420" s="302">
        <f>+Ingresos!E398</f>
        <v>8479</v>
      </c>
      <c r="G420" s="302">
        <f>+Ingresos!F398</f>
        <v>8818</v>
      </c>
      <c r="H420" s="302">
        <f>+Ingresos!G398</f>
        <v>9170</v>
      </c>
      <c r="I420" s="302">
        <f>+Ingresos!H398</f>
        <v>9536</v>
      </c>
    </row>
    <row r="421" spans="2:9" x14ac:dyDescent="0.2">
      <c r="B421" s="299" t="s">
        <v>319</v>
      </c>
      <c r="C421" s="306" t="s">
        <v>45</v>
      </c>
      <c r="D421" s="302">
        <f>+P31</f>
        <v>578.20100000000002</v>
      </c>
      <c r="E421" s="302">
        <f>+D421*(1+E422)*(1+E423)</f>
        <v>597.28163299999994</v>
      </c>
      <c r="F421" s="302">
        <f>+E421*(1+F422)*(1+F423)</f>
        <v>618.78377178799997</v>
      </c>
      <c r="G421" s="302">
        <f>+F421*(1+G422)*(1+G423)</f>
        <v>644.77269020309598</v>
      </c>
      <c r="H421" s="302">
        <f>+G421*(1+H422)*(1+H423)</f>
        <v>675.72177933284456</v>
      </c>
      <c r="I421" s="302">
        <f>+H421*(1+I422)*(1+I423)</f>
        <v>712.21075541681819</v>
      </c>
    </row>
    <row r="422" spans="2:9" x14ac:dyDescent="0.2">
      <c r="B422" s="299" t="s">
        <v>318</v>
      </c>
      <c r="C422" s="306" t="s">
        <v>160</v>
      </c>
      <c r="D422" s="320"/>
      <c r="E422" s="321">
        <f>E408</f>
        <v>3.3000000000000002E-2</v>
      </c>
      <c r="F422" s="321">
        <f>F408</f>
        <v>3.5999999999999997E-2</v>
      </c>
      <c r="G422" s="321">
        <f>G408</f>
        <v>4.2000000000000003E-2</v>
      </c>
      <c r="H422" s="321">
        <f>H408</f>
        <v>4.8000000000000001E-2</v>
      </c>
      <c r="I422" s="321">
        <f>I408</f>
        <v>5.3999999999999999E-2</v>
      </c>
    </row>
    <row r="423" spans="2:9" x14ac:dyDescent="0.2">
      <c r="B423" s="299" t="s">
        <v>305</v>
      </c>
      <c r="C423" s="300"/>
      <c r="D423" s="320"/>
      <c r="E423" s="279"/>
      <c r="F423" s="279"/>
      <c r="G423" s="279"/>
      <c r="H423" s="279"/>
      <c r="I423" s="279"/>
    </row>
    <row r="424" spans="2:9" ht="15" x14ac:dyDescent="0.25">
      <c r="B424" s="322" t="s">
        <v>317</v>
      </c>
      <c r="C424" s="306"/>
      <c r="D424" s="304">
        <f t="shared" ref="D424:I424" si="879">D420*D421</f>
        <v>4533211.480200001</v>
      </c>
      <c r="E424" s="304">
        <f t="shared" si="879"/>
        <v>4869637.1538489992</v>
      </c>
      <c r="F424" s="304">
        <f t="shared" si="879"/>
        <v>5246667.6009904519</v>
      </c>
      <c r="G424" s="304">
        <f t="shared" si="879"/>
        <v>5685605.5822109003</v>
      </c>
      <c r="H424" s="304">
        <f t="shared" si="879"/>
        <v>6196368.7164821848</v>
      </c>
      <c r="I424" s="304">
        <f t="shared" si="879"/>
        <v>6791641.7636547778</v>
      </c>
    </row>
    <row r="425" spans="2:9" x14ac:dyDescent="0.2">
      <c r="B425" s="299" t="s">
        <v>320</v>
      </c>
      <c r="C425" s="306" t="s">
        <v>45</v>
      </c>
      <c r="D425" s="302">
        <f>+P33</f>
        <v>18</v>
      </c>
      <c r="E425" s="302">
        <f>+D425*(1+E426)*(1+E427)</f>
        <v>18.593999999999998</v>
      </c>
      <c r="F425" s="302">
        <f>+E425*(1+F426)*(1+F427)</f>
        <v>19.263383999999999</v>
      </c>
      <c r="G425" s="302">
        <f>+F425*(1+G426)*(1+G427)</f>
        <v>20.072446127999999</v>
      </c>
      <c r="H425" s="302">
        <f>+G425*(1+H426)*(1+H427)</f>
        <v>21.035923542144001</v>
      </c>
      <c r="I425" s="302">
        <f>+H425*(1+I426)*(1+I427)</f>
        <v>22.171863413419779</v>
      </c>
    </row>
    <row r="426" spans="2:9" x14ac:dyDescent="0.2">
      <c r="B426" s="299" t="s">
        <v>318</v>
      </c>
      <c r="C426" s="306" t="s">
        <v>160</v>
      </c>
      <c r="D426" s="320"/>
      <c r="E426" s="321">
        <f>+$E$408</f>
        <v>3.3000000000000002E-2</v>
      </c>
      <c r="F426" s="321">
        <f>+$F$408</f>
        <v>3.5999999999999997E-2</v>
      </c>
      <c r="G426" s="321">
        <f>+$G$408</f>
        <v>4.2000000000000003E-2</v>
      </c>
      <c r="H426" s="321">
        <f>+$H$408</f>
        <v>4.8000000000000001E-2</v>
      </c>
      <c r="I426" s="321">
        <f>+$I$408</f>
        <v>5.3999999999999999E-2</v>
      </c>
    </row>
    <row r="427" spans="2:9" x14ac:dyDescent="0.2">
      <c r="B427" s="299" t="s">
        <v>305</v>
      </c>
      <c r="C427" s="300"/>
      <c r="D427" s="320"/>
      <c r="E427" s="279"/>
      <c r="F427" s="279"/>
      <c r="G427" s="279"/>
      <c r="H427" s="279"/>
      <c r="I427" s="279"/>
    </row>
    <row r="428" spans="2:9" ht="15" x14ac:dyDescent="0.25">
      <c r="B428" s="322" t="s">
        <v>317</v>
      </c>
      <c r="C428" s="306"/>
      <c r="D428" s="323">
        <f t="shared" ref="D428:I428" si="880">+D425*D420</f>
        <v>141123.60000000003</v>
      </c>
      <c r="E428" s="323">
        <f t="shared" si="880"/>
        <v>151596.88199999998</v>
      </c>
      <c r="F428" s="323">
        <f t="shared" si="880"/>
        <v>163334.23293599999</v>
      </c>
      <c r="G428" s="323">
        <f t="shared" si="880"/>
        <v>176998.82995670399</v>
      </c>
      <c r="H428" s="323">
        <f t="shared" si="880"/>
        <v>192899.4188814605</v>
      </c>
      <c r="I428" s="323">
        <f t="shared" si="880"/>
        <v>211430.88951037099</v>
      </c>
    </row>
    <row r="429" spans="2:9" x14ac:dyDescent="0.2">
      <c r="B429" s="299" t="s">
        <v>321</v>
      </c>
      <c r="C429" s="306" t="s">
        <v>45</v>
      </c>
      <c r="D429" s="302">
        <f>+P35</f>
        <v>0</v>
      </c>
      <c r="E429" s="302">
        <f>+D429*(1+E430)*(1+E431)</f>
        <v>0</v>
      </c>
      <c r="F429" s="302">
        <f>+E429*(1+F430)*(1+F431)</f>
        <v>0</v>
      </c>
      <c r="G429" s="302">
        <f>+F429*(1+G430)*(1+G431)</f>
        <v>0</v>
      </c>
      <c r="H429" s="302">
        <f>+G429*(1+H430)*(1+H431)</f>
        <v>0</v>
      </c>
      <c r="I429" s="302">
        <f>+H429*(1+I430)*(1+I431)</f>
        <v>0</v>
      </c>
    </row>
    <row r="430" spans="2:9" x14ac:dyDescent="0.2">
      <c r="B430" s="299" t="s">
        <v>318</v>
      </c>
      <c r="C430" s="306" t="s">
        <v>160</v>
      </c>
      <c r="D430" s="320"/>
      <c r="E430" s="321">
        <f>+$E$408</f>
        <v>3.3000000000000002E-2</v>
      </c>
      <c r="F430" s="321">
        <f>+$F$408</f>
        <v>3.5999999999999997E-2</v>
      </c>
      <c r="G430" s="321">
        <f>+$G$408</f>
        <v>4.2000000000000003E-2</v>
      </c>
      <c r="H430" s="321">
        <f>+$H$408</f>
        <v>4.8000000000000001E-2</v>
      </c>
      <c r="I430" s="321">
        <f>+$I$408</f>
        <v>5.3999999999999999E-2</v>
      </c>
    </row>
    <row r="431" spans="2:9" x14ac:dyDescent="0.2">
      <c r="B431" s="299" t="s">
        <v>305</v>
      </c>
      <c r="C431" s="300"/>
      <c r="D431" s="320"/>
      <c r="E431" s="279"/>
      <c r="F431" s="279"/>
      <c r="G431" s="279"/>
      <c r="H431" s="279"/>
      <c r="I431" s="279"/>
    </row>
    <row r="432" spans="2:9" ht="15" x14ac:dyDescent="0.25">
      <c r="B432" s="322" t="s">
        <v>317</v>
      </c>
      <c r="C432" s="306"/>
      <c r="D432" s="323">
        <f t="shared" ref="D432:I432" si="881">+D429*D420</f>
        <v>0</v>
      </c>
      <c r="E432" s="323">
        <f t="shared" si="881"/>
        <v>0</v>
      </c>
      <c r="F432" s="323">
        <f t="shared" si="881"/>
        <v>0</v>
      </c>
      <c r="G432" s="323">
        <f t="shared" si="881"/>
        <v>0</v>
      </c>
      <c r="H432" s="323">
        <f t="shared" si="881"/>
        <v>0</v>
      </c>
      <c r="I432" s="323">
        <f t="shared" si="881"/>
        <v>0</v>
      </c>
    </row>
    <row r="433" spans="2:9" x14ac:dyDescent="0.2">
      <c r="B433" s="316" t="str">
        <f>+Ingresos!B405</f>
        <v>Ají Dulce</v>
      </c>
      <c r="C433" s="317"/>
      <c r="D433" s="318"/>
      <c r="E433" s="318"/>
      <c r="F433" s="318"/>
      <c r="G433" s="318"/>
      <c r="H433" s="318"/>
      <c r="I433" s="318"/>
    </row>
    <row r="434" spans="2:9" x14ac:dyDescent="0.2">
      <c r="B434" s="299" t="s">
        <v>159</v>
      </c>
      <c r="C434" s="319"/>
      <c r="D434" s="302">
        <f>+P38</f>
        <v>377.52</v>
      </c>
      <c r="E434" s="302">
        <f>+Ingresos!D406</f>
        <v>392</v>
      </c>
      <c r="F434" s="302">
        <f>+Ingresos!E406</f>
        <v>407</v>
      </c>
      <c r="G434" s="302">
        <f>+Ingresos!F406</f>
        <v>423</v>
      </c>
      <c r="H434" s="302">
        <f>+Ingresos!G406</f>
        <v>439</v>
      </c>
      <c r="I434" s="302">
        <f>+Ingresos!H406</f>
        <v>456</v>
      </c>
    </row>
    <row r="435" spans="2:9" x14ac:dyDescent="0.2">
      <c r="B435" s="299" t="s">
        <v>319</v>
      </c>
      <c r="C435" s="306" t="s">
        <v>45</v>
      </c>
      <c r="D435" s="302">
        <f>+P39</f>
        <v>2000.7</v>
      </c>
      <c r="E435" s="302">
        <f>+D435*(1+E436)*(1+E437)</f>
        <v>2066.7230999999997</v>
      </c>
      <c r="F435" s="302">
        <f>+E435*(1+F436)*(1+F437)</f>
        <v>2141.1251315999998</v>
      </c>
      <c r="G435" s="302">
        <f>+F435*(1+G436)*(1+G437)</f>
        <v>2231.0523871271998</v>
      </c>
      <c r="H435" s="302">
        <f>+G435*(1+H436)*(1+H437)</f>
        <v>2338.1429017093055</v>
      </c>
      <c r="I435" s="302">
        <f>+H435*(1+I436)*(1+I437)</f>
        <v>2464.4026184016079</v>
      </c>
    </row>
    <row r="436" spans="2:9" x14ac:dyDescent="0.2">
      <c r="B436" s="299" t="s">
        <v>318</v>
      </c>
      <c r="C436" s="306" t="s">
        <v>160</v>
      </c>
      <c r="D436" s="320"/>
      <c r="E436" s="321">
        <f>E422</f>
        <v>3.3000000000000002E-2</v>
      </c>
      <c r="F436" s="321">
        <f>F422</f>
        <v>3.5999999999999997E-2</v>
      </c>
      <c r="G436" s="321">
        <f>G422</f>
        <v>4.2000000000000003E-2</v>
      </c>
      <c r="H436" s="321">
        <f>H422</f>
        <v>4.8000000000000001E-2</v>
      </c>
      <c r="I436" s="321">
        <f>+$I$408</f>
        <v>5.3999999999999999E-2</v>
      </c>
    </row>
    <row r="437" spans="2:9" x14ac:dyDescent="0.2">
      <c r="B437" s="299" t="s">
        <v>305</v>
      </c>
      <c r="C437" s="300"/>
      <c r="D437" s="320"/>
      <c r="E437" s="279">
        <v>0</v>
      </c>
      <c r="F437" s="279">
        <v>0</v>
      </c>
      <c r="G437" s="279">
        <v>0</v>
      </c>
      <c r="H437" s="279">
        <v>0</v>
      </c>
      <c r="I437" s="279">
        <v>0</v>
      </c>
    </row>
    <row r="438" spans="2:9" ht="15" x14ac:dyDescent="0.25">
      <c r="B438" s="322" t="s">
        <v>317</v>
      </c>
      <c r="C438" s="306"/>
      <c r="D438" s="304">
        <f t="shared" ref="D438:I438" si="882">D434*D435</f>
        <v>755304.26399999997</v>
      </c>
      <c r="E438" s="304">
        <f t="shared" si="882"/>
        <v>810155.45519999985</v>
      </c>
      <c r="F438" s="304">
        <f t="shared" si="882"/>
        <v>871437.92856119992</v>
      </c>
      <c r="G438" s="304">
        <f t="shared" si="882"/>
        <v>943735.1597548055</v>
      </c>
      <c r="H438" s="304">
        <f t="shared" si="882"/>
        <v>1026444.7338503852</v>
      </c>
      <c r="I438" s="304">
        <f t="shared" si="882"/>
        <v>1123767.5939911332</v>
      </c>
    </row>
    <row r="439" spans="2:9" x14ac:dyDescent="0.2">
      <c r="B439" s="299" t="s">
        <v>320</v>
      </c>
      <c r="C439" s="306" t="s">
        <v>45</v>
      </c>
      <c r="D439" s="302">
        <f>+P41</f>
        <v>261.16000000000003</v>
      </c>
      <c r="E439" s="302">
        <f>+D439*(1+E440)*(1+E441)</f>
        <v>269.77828</v>
      </c>
      <c r="F439" s="302">
        <f>+E439*(1+F440)*(1+F441)</f>
        <v>279.49029808</v>
      </c>
      <c r="G439" s="302">
        <f>+F439*(1+G440)*(1+G441)</f>
        <v>291.22889059936</v>
      </c>
      <c r="H439" s="302">
        <f>+G439*(1+H440)*(1+H441)</f>
        <v>305.20787734812927</v>
      </c>
      <c r="I439" s="302">
        <f>+H439*(1+I440)*(1+I441)</f>
        <v>321.68910272492826</v>
      </c>
    </row>
    <row r="440" spans="2:9" x14ac:dyDescent="0.2">
      <c r="B440" s="299" t="s">
        <v>318</v>
      </c>
      <c r="C440" s="306" t="s">
        <v>160</v>
      </c>
      <c r="D440" s="320"/>
      <c r="E440" s="321">
        <f>+$E$408</f>
        <v>3.3000000000000002E-2</v>
      </c>
      <c r="F440" s="321">
        <f>+$F$408</f>
        <v>3.5999999999999997E-2</v>
      </c>
      <c r="G440" s="321">
        <f>+$G$408</f>
        <v>4.2000000000000003E-2</v>
      </c>
      <c r="H440" s="321">
        <f>+$H$408</f>
        <v>4.8000000000000001E-2</v>
      </c>
      <c r="I440" s="321">
        <f>+$I$408</f>
        <v>5.3999999999999999E-2</v>
      </c>
    </row>
    <row r="441" spans="2:9" x14ac:dyDescent="0.2">
      <c r="B441" s="299" t="s">
        <v>305</v>
      </c>
      <c r="C441" s="300"/>
      <c r="D441" s="320"/>
      <c r="E441" s="279">
        <v>0</v>
      </c>
      <c r="F441" s="279">
        <v>0</v>
      </c>
      <c r="G441" s="279">
        <v>0</v>
      </c>
      <c r="H441" s="279">
        <v>0</v>
      </c>
      <c r="I441" s="279">
        <v>0</v>
      </c>
    </row>
    <row r="442" spans="2:9" ht="15" x14ac:dyDescent="0.25">
      <c r="B442" s="322" t="s">
        <v>317</v>
      </c>
      <c r="C442" s="306"/>
      <c r="D442" s="323">
        <f t="shared" ref="D442:I442" si="883">+D439*D434</f>
        <v>98593.123200000002</v>
      </c>
      <c r="E442" s="323">
        <f t="shared" si="883"/>
        <v>105753.08576</v>
      </c>
      <c r="F442" s="323">
        <f t="shared" si="883"/>
        <v>113752.55131856</v>
      </c>
      <c r="G442" s="323">
        <f t="shared" si="883"/>
        <v>123189.82072352928</v>
      </c>
      <c r="H442" s="323">
        <f t="shared" si="883"/>
        <v>133986.25815582875</v>
      </c>
      <c r="I442" s="323">
        <f t="shared" si="883"/>
        <v>146690.23084256728</v>
      </c>
    </row>
    <row r="443" spans="2:9" x14ac:dyDescent="0.2">
      <c r="B443" s="299" t="s">
        <v>321</v>
      </c>
      <c r="C443" s="306" t="s">
        <v>45</v>
      </c>
      <c r="D443" s="302">
        <f>+P43</f>
        <v>0</v>
      </c>
      <c r="E443" s="302">
        <f>+D443*(1+E444)*(1+E445)</f>
        <v>0</v>
      </c>
      <c r="F443" s="302">
        <f>+E443*(1+F444)*(1+F445)</f>
        <v>0</v>
      </c>
      <c r="G443" s="302">
        <f>+F443*(1+G444)*(1+G445)</f>
        <v>0</v>
      </c>
      <c r="H443" s="302">
        <f>+G443*(1+H444)*(1+H445)</f>
        <v>0</v>
      </c>
      <c r="I443" s="302">
        <f>+H443*(1+I444)*(1+I445)</f>
        <v>0</v>
      </c>
    </row>
    <row r="444" spans="2:9" x14ac:dyDescent="0.2">
      <c r="B444" s="299" t="s">
        <v>318</v>
      </c>
      <c r="C444" s="306" t="s">
        <v>160</v>
      </c>
      <c r="D444" s="320"/>
      <c r="E444" s="321">
        <f>+$E$408</f>
        <v>3.3000000000000002E-2</v>
      </c>
      <c r="F444" s="321">
        <f>+$F$408</f>
        <v>3.5999999999999997E-2</v>
      </c>
      <c r="G444" s="321">
        <f>+$G$408</f>
        <v>4.2000000000000003E-2</v>
      </c>
      <c r="H444" s="321">
        <f>+$H$408</f>
        <v>4.8000000000000001E-2</v>
      </c>
      <c r="I444" s="321">
        <f>+$I$408</f>
        <v>5.3999999999999999E-2</v>
      </c>
    </row>
    <row r="445" spans="2:9" x14ac:dyDescent="0.2">
      <c r="B445" s="299" t="s">
        <v>305</v>
      </c>
      <c r="C445" s="300"/>
      <c r="D445" s="320"/>
      <c r="E445" s="279">
        <v>0</v>
      </c>
      <c r="F445" s="279">
        <v>0</v>
      </c>
      <c r="G445" s="279">
        <v>0</v>
      </c>
      <c r="H445" s="279">
        <v>0</v>
      </c>
      <c r="I445" s="279">
        <v>0</v>
      </c>
    </row>
    <row r="446" spans="2:9" ht="15" x14ac:dyDescent="0.25">
      <c r="B446" s="322" t="s">
        <v>317</v>
      </c>
      <c r="C446" s="306"/>
      <c r="D446" s="323">
        <f t="shared" ref="D446:I446" si="884">+D443*D434</f>
        <v>0</v>
      </c>
      <c r="E446" s="323">
        <f t="shared" si="884"/>
        <v>0</v>
      </c>
      <c r="F446" s="323">
        <f t="shared" si="884"/>
        <v>0</v>
      </c>
      <c r="G446" s="323">
        <f t="shared" si="884"/>
        <v>0</v>
      </c>
      <c r="H446" s="323">
        <f t="shared" si="884"/>
        <v>0</v>
      </c>
      <c r="I446" s="323">
        <f t="shared" si="884"/>
        <v>0</v>
      </c>
    </row>
    <row r="447" spans="2:9" x14ac:dyDescent="0.2">
      <c r="B447" s="316" t="str">
        <f>+Ingresos!B413</f>
        <v>Ají Picante</v>
      </c>
      <c r="C447" s="317"/>
      <c r="D447" s="318"/>
      <c r="E447" s="318"/>
      <c r="F447" s="318"/>
      <c r="G447" s="318"/>
      <c r="H447" s="318"/>
      <c r="I447" s="318"/>
    </row>
    <row r="448" spans="2:9" x14ac:dyDescent="0.2">
      <c r="B448" s="299" t="s">
        <v>159</v>
      </c>
      <c r="C448" s="319"/>
      <c r="D448" s="302">
        <f>+P46</f>
        <v>406.56</v>
      </c>
      <c r="E448" s="302">
        <f>+Ingresos!D414</f>
        <v>422</v>
      </c>
      <c r="F448" s="302">
        <f>+Ingresos!E414</f>
        <v>438</v>
      </c>
      <c r="G448" s="302">
        <f>+Ingresos!F414</f>
        <v>455</v>
      </c>
      <c r="H448" s="302">
        <f>+Ingresos!G414</f>
        <v>473</v>
      </c>
      <c r="I448" s="302">
        <f>+Ingresos!H414</f>
        <v>491</v>
      </c>
    </row>
    <row r="449" spans="2:10" x14ac:dyDescent="0.2">
      <c r="B449" s="299" t="s">
        <v>319</v>
      </c>
      <c r="C449" s="306" t="s">
        <v>45</v>
      </c>
      <c r="D449" s="302">
        <f>+P47</f>
        <v>4001.4</v>
      </c>
      <c r="E449" s="302">
        <f>+D449*(1+E450)*(1+E451)</f>
        <v>4133.4461999999994</v>
      </c>
      <c r="F449" s="302">
        <f>+E449*(1+F450)*(1+F451)</f>
        <v>4282.2502631999996</v>
      </c>
      <c r="G449" s="302">
        <f>+F449*(1+G450)*(1+G451)</f>
        <v>4462.1047742543997</v>
      </c>
      <c r="H449" s="302">
        <f>+G449*(1+H450)*(1+H451)</f>
        <v>4676.2858034186111</v>
      </c>
      <c r="I449" s="302">
        <f>+H449*(1+I450)*(1+I451)</f>
        <v>4928.8052368032158</v>
      </c>
    </row>
    <row r="450" spans="2:10" x14ac:dyDescent="0.2">
      <c r="B450" s="299" t="s">
        <v>318</v>
      </c>
      <c r="C450" s="306" t="s">
        <v>160</v>
      </c>
      <c r="D450" s="320"/>
      <c r="E450" s="321">
        <f>E436</f>
        <v>3.3000000000000002E-2</v>
      </c>
      <c r="F450" s="321">
        <f>F436</f>
        <v>3.5999999999999997E-2</v>
      </c>
      <c r="G450" s="321">
        <f>G436</f>
        <v>4.2000000000000003E-2</v>
      </c>
      <c r="H450" s="321">
        <f>H436</f>
        <v>4.8000000000000001E-2</v>
      </c>
      <c r="I450" s="321">
        <f>+$I$408</f>
        <v>5.3999999999999999E-2</v>
      </c>
    </row>
    <row r="451" spans="2:10" x14ac:dyDescent="0.2">
      <c r="B451" s="299" t="s">
        <v>305</v>
      </c>
      <c r="C451" s="300"/>
      <c r="D451" s="320"/>
      <c r="E451" s="279">
        <v>0</v>
      </c>
      <c r="F451" s="279">
        <v>0</v>
      </c>
      <c r="G451" s="279">
        <v>0</v>
      </c>
      <c r="H451" s="279">
        <v>0</v>
      </c>
      <c r="I451" s="279">
        <v>0</v>
      </c>
    </row>
    <row r="452" spans="2:10" ht="15" x14ac:dyDescent="0.25">
      <c r="B452" s="322" t="s">
        <v>317</v>
      </c>
      <c r="C452" s="306"/>
      <c r="D452" s="304">
        <f t="shared" ref="D452:I452" si="885">D448*D449</f>
        <v>1626809.1840000001</v>
      </c>
      <c r="E452" s="304">
        <f t="shared" si="885"/>
        <v>1744314.2963999996</v>
      </c>
      <c r="F452" s="304">
        <f t="shared" si="885"/>
        <v>1875625.6152815998</v>
      </c>
      <c r="G452" s="304">
        <f t="shared" si="885"/>
        <v>2030257.6722857519</v>
      </c>
      <c r="H452" s="304">
        <f t="shared" si="885"/>
        <v>2211883.1850170032</v>
      </c>
      <c r="I452" s="304">
        <f t="shared" si="885"/>
        <v>2420043.3712703791</v>
      </c>
    </row>
    <row r="453" spans="2:10" x14ac:dyDescent="0.2">
      <c r="B453" s="299" t="s">
        <v>320</v>
      </c>
      <c r="C453" s="306" t="s">
        <v>45</v>
      </c>
      <c r="D453" s="302">
        <f>+P49</f>
        <v>603.16</v>
      </c>
      <c r="E453" s="302">
        <f>+D453*(1+E454)*(1+E455)</f>
        <v>623.06427999999994</v>
      </c>
      <c r="F453" s="302">
        <f>+E453*(1+F454)*(1+F455)</f>
        <v>645.49459407999996</v>
      </c>
      <c r="G453" s="302">
        <f>+F453*(1+G454)*(1+G455)</f>
        <v>672.60536703135995</v>
      </c>
      <c r="H453" s="302">
        <f>+G453*(1+H454)*(1+H455)</f>
        <v>704.89042464886529</v>
      </c>
      <c r="I453" s="302">
        <f>+H453*(1+I454)*(1+I455)</f>
        <v>742.95450757990409</v>
      </c>
    </row>
    <row r="454" spans="2:10" x14ac:dyDescent="0.2">
      <c r="B454" s="299" t="s">
        <v>318</v>
      </c>
      <c r="C454" s="306" t="s">
        <v>160</v>
      </c>
      <c r="D454" s="320"/>
      <c r="E454" s="321">
        <f>+$E$408</f>
        <v>3.3000000000000002E-2</v>
      </c>
      <c r="F454" s="321">
        <f>+$F$408</f>
        <v>3.5999999999999997E-2</v>
      </c>
      <c r="G454" s="321">
        <f>+$G$408</f>
        <v>4.2000000000000003E-2</v>
      </c>
      <c r="H454" s="321">
        <f>+$H$408</f>
        <v>4.8000000000000001E-2</v>
      </c>
      <c r="I454" s="321">
        <f>+$I$408</f>
        <v>5.3999999999999999E-2</v>
      </c>
    </row>
    <row r="455" spans="2:10" x14ac:dyDescent="0.2">
      <c r="B455" s="299" t="s">
        <v>305</v>
      </c>
      <c r="C455" s="300"/>
      <c r="D455" s="320"/>
      <c r="E455" s="279">
        <v>0</v>
      </c>
      <c r="F455" s="279">
        <v>0</v>
      </c>
      <c r="G455" s="279">
        <v>0</v>
      </c>
      <c r="H455" s="279">
        <v>0</v>
      </c>
      <c r="I455" s="279">
        <v>0</v>
      </c>
    </row>
    <row r="456" spans="2:10" ht="15" x14ac:dyDescent="0.25">
      <c r="B456" s="322" t="s">
        <v>317</v>
      </c>
      <c r="C456" s="306"/>
      <c r="D456" s="323">
        <f t="shared" ref="D456:I456" si="886">+D453*D448</f>
        <v>245220.72959999999</v>
      </c>
      <c r="E456" s="323">
        <f t="shared" si="886"/>
        <v>262933.12615999999</v>
      </c>
      <c r="F456" s="323">
        <f t="shared" si="886"/>
        <v>282726.63220703998</v>
      </c>
      <c r="G456" s="323">
        <f t="shared" si="886"/>
        <v>306035.44199926878</v>
      </c>
      <c r="H456" s="323">
        <f t="shared" si="886"/>
        <v>333413.17085891328</v>
      </c>
      <c r="I456" s="323">
        <f t="shared" si="886"/>
        <v>364790.66322173289</v>
      </c>
    </row>
    <row r="457" spans="2:10" x14ac:dyDescent="0.2">
      <c r="B457" s="299" t="s">
        <v>321</v>
      </c>
      <c r="C457" s="306" t="s">
        <v>45</v>
      </c>
      <c r="D457" s="302">
        <f>+P51</f>
        <v>0</v>
      </c>
      <c r="E457" s="302">
        <f>+D457*(1+E458)*(1+E459)</f>
        <v>0</v>
      </c>
      <c r="F457" s="302">
        <f>+E457*(1+F458)*(1+F459)</f>
        <v>0</v>
      </c>
      <c r="G457" s="302">
        <f>+F457*(1+G458)*(1+G459)</f>
        <v>0</v>
      </c>
      <c r="H457" s="302">
        <f>+G457*(1+H458)*(1+H459)</f>
        <v>0</v>
      </c>
      <c r="I457" s="302">
        <f>+H457*(1+I458)*(1+I459)</f>
        <v>0</v>
      </c>
    </row>
    <row r="458" spans="2:10" x14ac:dyDescent="0.2">
      <c r="B458" s="299" t="s">
        <v>318</v>
      </c>
      <c r="C458" s="306" t="s">
        <v>160</v>
      </c>
      <c r="D458" s="320"/>
      <c r="E458" s="321">
        <f>+$E$408</f>
        <v>3.3000000000000002E-2</v>
      </c>
      <c r="F458" s="321">
        <f>+$F$408</f>
        <v>3.5999999999999997E-2</v>
      </c>
      <c r="G458" s="321">
        <f>+$G$408</f>
        <v>4.2000000000000003E-2</v>
      </c>
      <c r="H458" s="321">
        <f>+$H$408</f>
        <v>4.8000000000000001E-2</v>
      </c>
      <c r="I458" s="321">
        <f>+$I$408</f>
        <v>5.3999999999999999E-2</v>
      </c>
    </row>
    <row r="459" spans="2:10" x14ac:dyDescent="0.2">
      <c r="B459" s="299" t="s">
        <v>305</v>
      </c>
      <c r="C459" s="300"/>
      <c r="D459" s="320"/>
      <c r="E459" s="279">
        <v>0</v>
      </c>
      <c r="F459" s="279">
        <v>0</v>
      </c>
      <c r="G459" s="279">
        <v>0</v>
      </c>
      <c r="H459" s="279">
        <v>0</v>
      </c>
      <c r="I459" s="279">
        <v>0</v>
      </c>
    </row>
    <row r="460" spans="2:10" ht="15" x14ac:dyDescent="0.25">
      <c r="B460" s="322" t="s">
        <v>317</v>
      </c>
      <c r="C460" s="306"/>
      <c r="D460" s="323">
        <f t="shared" ref="D460:I460" si="887">+D457*D448</f>
        <v>0</v>
      </c>
      <c r="E460" s="323">
        <f t="shared" si="887"/>
        <v>0</v>
      </c>
      <c r="F460" s="323">
        <f t="shared" si="887"/>
        <v>0</v>
      </c>
      <c r="G460" s="323">
        <f t="shared" si="887"/>
        <v>0</v>
      </c>
      <c r="H460" s="323">
        <f t="shared" si="887"/>
        <v>0</v>
      </c>
      <c r="I460" s="323">
        <f t="shared" si="887"/>
        <v>0</v>
      </c>
    </row>
    <row r="461" spans="2:10" x14ac:dyDescent="0.2">
      <c r="B461" s="316" t="str">
        <f>+Ingresos!B421</f>
        <v>Ajo importado</v>
      </c>
      <c r="C461" s="317"/>
      <c r="D461" s="318"/>
      <c r="E461" s="318"/>
      <c r="F461" s="318"/>
      <c r="G461" s="318"/>
      <c r="H461" s="318"/>
      <c r="I461" s="318"/>
      <c r="J461" s="324"/>
    </row>
    <row r="462" spans="2:10" x14ac:dyDescent="0.2">
      <c r="B462" s="299" t="s">
        <v>159</v>
      </c>
      <c r="C462" s="319"/>
      <c r="D462" s="302">
        <f>+P54</f>
        <v>383.28000000000003</v>
      </c>
      <c r="E462" s="302">
        <f>+Ingresos!D422</f>
        <v>398</v>
      </c>
      <c r="F462" s="302">
        <f>+Ingresos!E422</f>
        <v>413</v>
      </c>
      <c r="G462" s="302">
        <f>+Ingresos!F422</f>
        <v>429</v>
      </c>
      <c r="H462" s="302">
        <f>+Ingresos!G422</f>
        <v>446</v>
      </c>
      <c r="I462" s="302">
        <f>+Ingresos!H422</f>
        <v>463</v>
      </c>
      <c r="J462" s="324"/>
    </row>
    <row r="463" spans="2:10" x14ac:dyDescent="0.2">
      <c r="B463" s="299" t="s">
        <v>319</v>
      </c>
      <c r="C463" s="306" t="s">
        <v>45</v>
      </c>
      <c r="D463" s="302">
        <f>+P55</f>
        <v>4556.9290000000001</v>
      </c>
      <c r="E463" s="302">
        <f>+D463*(1+E464)*(1+E465)</f>
        <v>4707.3076569999994</v>
      </c>
      <c r="F463" s="302">
        <f>+E463*(1+F464)*(1+F465)</f>
        <v>4876.7707326519994</v>
      </c>
      <c r="G463" s="302">
        <f>+F463*(1+G464)*(1+G465)</f>
        <v>5081.595103423384</v>
      </c>
      <c r="H463" s="302">
        <f>+G463*(1+H464)*(1+H465)</f>
        <v>5325.5116683877068</v>
      </c>
      <c r="I463" s="302">
        <f>+H463*(1+I464)*(1+I465)</f>
        <v>5613.0892984806433</v>
      </c>
      <c r="J463" s="324"/>
    </row>
    <row r="464" spans="2:10" x14ac:dyDescent="0.2">
      <c r="B464" s="299" t="s">
        <v>318</v>
      </c>
      <c r="C464" s="306" t="s">
        <v>160</v>
      </c>
      <c r="D464" s="320"/>
      <c r="E464" s="321">
        <f>E450</f>
        <v>3.3000000000000002E-2</v>
      </c>
      <c r="F464" s="321">
        <f>F450</f>
        <v>3.5999999999999997E-2</v>
      </c>
      <c r="G464" s="321">
        <f>G450</f>
        <v>4.2000000000000003E-2</v>
      </c>
      <c r="H464" s="321">
        <f>H450</f>
        <v>4.8000000000000001E-2</v>
      </c>
      <c r="I464" s="321">
        <f>+$I$408</f>
        <v>5.3999999999999999E-2</v>
      </c>
      <c r="J464" s="324"/>
    </row>
    <row r="465" spans="2:10" x14ac:dyDescent="0.2">
      <c r="B465" s="299" t="s">
        <v>305</v>
      </c>
      <c r="C465" s="300"/>
      <c r="D465" s="320"/>
      <c r="E465" s="279">
        <v>0</v>
      </c>
      <c r="F465" s="279">
        <v>0</v>
      </c>
      <c r="G465" s="279">
        <v>0</v>
      </c>
      <c r="H465" s="279">
        <v>0</v>
      </c>
      <c r="I465" s="279">
        <v>0</v>
      </c>
      <c r="J465" s="324"/>
    </row>
    <row r="466" spans="2:10" ht="15" x14ac:dyDescent="0.25">
      <c r="B466" s="322" t="s">
        <v>317</v>
      </c>
      <c r="C466" s="306"/>
      <c r="D466" s="304">
        <f t="shared" ref="D466:I466" si="888">D462*D463</f>
        <v>1746579.7471200002</v>
      </c>
      <c r="E466" s="304">
        <f t="shared" si="888"/>
        <v>1873508.4474859997</v>
      </c>
      <c r="F466" s="304">
        <f t="shared" si="888"/>
        <v>2014106.3125852759</v>
      </c>
      <c r="G466" s="304">
        <f t="shared" si="888"/>
        <v>2180004.2993686316</v>
      </c>
      <c r="H466" s="304">
        <f t="shared" si="888"/>
        <v>2375178.2041009171</v>
      </c>
      <c r="I466" s="304">
        <f t="shared" si="888"/>
        <v>2598860.3451965377</v>
      </c>
      <c r="J466" s="324"/>
    </row>
    <row r="467" spans="2:10" x14ac:dyDescent="0.2">
      <c r="B467" s="299" t="s">
        <v>320</v>
      </c>
      <c r="C467" s="306" t="s">
        <v>45</v>
      </c>
      <c r="D467" s="302">
        <f>+P57</f>
        <v>698.13</v>
      </c>
      <c r="E467" s="302">
        <f>+D467*(1+E468)*(1+E469)</f>
        <v>721.16828999999996</v>
      </c>
      <c r="F467" s="302">
        <f>+E467*(1+F468)*(1+F469)</f>
        <v>747.13034844000003</v>
      </c>
      <c r="G467" s="302">
        <f>+F467*(1+G468)*(1+G469)</f>
        <v>778.5098230744801</v>
      </c>
      <c r="H467" s="302">
        <f>+G467*(1+H468)*(1+H469)</f>
        <v>815.87829458205522</v>
      </c>
      <c r="I467" s="302">
        <f>+H467*(1+I468)*(1+I469)</f>
        <v>859.93572248948624</v>
      </c>
      <c r="J467" s="324"/>
    </row>
    <row r="468" spans="2:10" x14ac:dyDescent="0.2">
      <c r="B468" s="299" t="s">
        <v>318</v>
      </c>
      <c r="C468" s="306" t="s">
        <v>160</v>
      </c>
      <c r="D468" s="320"/>
      <c r="E468" s="321">
        <f>+$E$408</f>
        <v>3.3000000000000002E-2</v>
      </c>
      <c r="F468" s="321">
        <f>+$F$408</f>
        <v>3.5999999999999997E-2</v>
      </c>
      <c r="G468" s="321">
        <f>+$G$408</f>
        <v>4.2000000000000003E-2</v>
      </c>
      <c r="H468" s="321">
        <f>+$H$408</f>
        <v>4.8000000000000001E-2</v>
      </c>
      <c r="I468" s="321">
        <f>+$I$408</f>
        <v>5.3999999999999999E-2</v>
      </c>
      <c r="J468" s="324"/>
    </row>
    <row r="469" spans="2:10" x14ac:dyDescent="0.2">
      <c r="B469" s="299" t="s">
        <v>305</v>
      </c>
      <c r="C469" s="300"/>
      <c r="D469" s="320"/>
      <c r="E469" s="279"/>
      <c r="F469" s="279"/>
      <c r="G469" s="279"/>
      <c r="H469" s="279"/>
      <c r="I469" s="279"/>
      <c r="J469" s="324"/>
    </row>
    <row r="470" spans="2:10" ht="15" x14ac:dyDescent="0.25">
      <c r="B470" s="322" t="s">
        <v>317</v>
      </c>
      <c r="C470" s="306"/>
      <c r="D470" s="323">
        <f t="shared" ref="D470:I470" si="889">+D467*D462</f>
        <v>267579.26640000002</v>
      </c>
      <c r="E470" s="323">
        <f t="shared" si="889"/>
        <v>287024.97941999999</v>
      </c>
      <c r="F470" s="323">
        <f t="shared" si="889"/>
        <v>308564.83390572004</v>
      </c>
      <c r="G470" s="323">
        <f t="shared" si="889"/>
        <v>333980.71409895195</v>
      </c>
      <c r="H470" s="323">
        <f t="shared" si="889"/>
        <v>363881.71938359662</v>
      </c>
      <c r="I470" s="323">
        <f t="shared" si="889"/>
        <v>398150.23951263214</v>
      </c>
      <c r="J470" s="324"/>
    </row>
    <row r="471" spans="2:10" x14ac:dyDescent="0.2">
      <c r="B471" s="299" t="s">
        <v>321</v>
      </c>
      <c r="C471" s="306" t="s">
        <v>45</v>
      </c>
      <c r="D471" s="302">
        <f>+P59</f>
        <v>0</v>
      </c>
      <c r="E471" s="302">
        <f>+D471*(1+E472)*(1+E473)</f>
        <v>0</v>
      </c>
      <c r="F471" s="302">
        <f>+E471*(1+F472)*(1+F473)</f>
        <v>0</v>
      </c>
      <c r="G471" s="302">
        <f>+F471*(1+G472)*(1+G473)</f>
        <v>0</v>
      </c>
      <c r="H471" s="302">
        <f>+G471*(1+H472)*(1+H473)</f>
        <v>0</v>
      </c>
      <c r="I471" s="302">
        <f>+H471*(1+I472)*(1+I473)</f>
        <v>0</v>
      </c>
    </row>
    <row r="472" spans="2:10" x14ac:dyDescent="0.2">
      <c r="B472" s="299" t="s">
        <v>318</v>
      </c>
      <c r="C472" s="306" t="s">
        <v>160</v>
      </c>
      <c r="D472" s="320"/>
      <c r="E472" s="321">
        <f>+$E$408</f>
        <v>3.3000000000000002E-2</v>
      </c>
      <c r="F472" s="321">
        <f>+$F$408</f>
        <v>3.5999999999999997E-2</v>
      </c>
      <c r="G472" s="321">
        <f>+$G$408</f>
        <v>4.2000000000000003E-2</v>
      </c>
      <c r="H472" s="321">
        <f>+$H$408</f>
        <v>4.8000000000000001E-2</v>
      </c>
      <c r="I472" s="321">
        <f>+$I$408</f>
        <v>5.3999999999999999E-2</v>
      </c>
    </row>
    <row r="473" spans="2:10" x14ac:dyDescent="0.2">
      <c r="B473" s="299" t="s">
        <v>305</v>
      </c>
      <c r="C473" s="300"/>
      <c r="D473" s="320"/>
      <c r="E473" s="279">
        <v>0</v>
      </c>
      <c r="F473" s="279">
        <v>0</v>
      </c>
      <c r="G473" s="279">
        <v>0</v>
      </c>
      <c r="H473" s="279">
        <v>0</v>
      </c>
      <c r="I473" s="279">
        <v>0</v>
      </c>
    </row>
    <row r="474" spans="2:10" ht="15" x14ac:dyDescent="0.25">
      <c r="B474" s="322" t="s">
        <v>317</v>
      </c>
      <c r="C474" s="306"/>
      <c r="D474" s="323">
        <f t="shared" ref="D474:I474" si="890">+D471*D462</f>
        <v>0</v>
      </c>
      <c r="E474" s="323">
        <f t="shared" si="890"/>
        <v>0</v>
      </c>
      <c r="F474" s="323">
        <f t="shared" si="890"/>
        <v>0</v>
      </c>
      <c r="G474" s="323">
        <f t="shared" si="890"/>
        <v>0</v>
      </c>
      <c r="H474" s="323">
        <f t="shared" si="890"/>
        <v>0</v>
      </c>
      <c r="I474" s="323">
        <f t="shared" si="890"/>
        <v>0</v>
      </c>
    </row>
    <row r="475" spans="2:10" x14ac:dyDescent="0.2">
      <c r="B475" s="316" t="str">
        <f>+Ingresos!B429</f>
        <v>Apio</v>
      </c>
      <c r="C475" s="317"/>
      <c r="D475" s="318"/>
      <c r="E475" s="318"/>
      <c r="F475" s="318"/>
      <c r="G475" s="318"/>
      <c r="H475" s="318"/>
      <c r="I475" s="318"/>
      <c r="J475" s="324"/>
    </row>
    <row r="476" spans="2:10" x14ac:dyDescent="0.2">
      <c r="B476" s="299" t="s">
        <v>159</v>
      </c>
      <c r="C476" s="319"/>
      <c r="D476" s="302">
        <f>+P62</f>
        <v>1568.0400000000002</v>
      </c>
      <c r="E476" s="302">
        <f>+Ingresos!D430</f>
        <v>1630</v>
      </c>
      <c r="F476" s="302">
        <f>+Ingresos!E430</f>
        <v>1695</v>
      </c>
      <c r="G476" s="302">
        <f>+Ingresos!F430</f>
        <v>1762</v>
      </c>
      <c r="H476" s="302">
        <f>+Ingresos!G430</f>
        <v>1832</v>
      </c>
      <c r="I476" s="302">
        <f>+Ingresos!H430</f>
        <v>1905</v>
      </c>
      <c r="J476" s="324"/>
    </row>
    <row r="477" spans="2:10" x14ac:dyDescent="0.2">
      <c r="B477" s="299" t="s">
        <v>319</v>
      </c>
      <c r="C477" s="306" t="s">
        <v>45</v>
      </c>
      <c r="D477" s="302">
        <f>+P63</f>
        <v>578.20100000000002</v>
      </c>
      <c r="E477" s="302">
        <f>+D477*(1+E478)*(1+E479)</f>
        <v>597.28163299999994</v>
      </c>
      <c r="F477" s="302">
        <f>+E477*(1+F478)*(1+F479)</f>
        <v>618.78377178799997</v>
      </c>
      <c r="G477" s="302">
        <f>+F477*(1+G478)*(1+G479)</f>
        <v>644.77269020309598</v>
      </c>
      <c r="H477" s="302">
        <f>+G477*(1+H478)*(1+H479)</f>
        <v>675.72177933284456</v>
      </c>
      <c r="I477" s="302">
        <f>+H477*(1+I478)*(1+I479)</f>
        <v>712.21075541681819</v>
      </c>
      <c r="J477" s="324"/>
    </row>
    <row r="478" spans="2:10" x14ac:dyDescent="0.2">
      <c r="B478" s="299" t="s">
        <v>318</v>
      </c>
      <c r="C478" s="306" t="s">
        <v>160</v>
      </c>
      <c r="D478" s="320"/>
      <c r="E478" s="321">
        <f>E464</f>
        <v>3.3000000000000002E-2</v>
      </c>
      <c r="F478" s="321">
        <f>F464</f>
        <v>3.5999999999999997E-2</v>
      </c>
      <c r="G478" s="321">
        <f>G464</f>
        <v>4.2000000000000003E-2</v>
      </c>
      <c r="H478" s="321">
        <f>H464</f>
        <v>4.8000000000000001E-2</v>
      </c>
      <c r="I478" s="321">
        <f>+$I$408</f>
        <v>5.3999999999999999E-2</v>
      </c>
      <c r="J478" s="324"/>
    </row>
    <row r="479" spans="2:10" x14ac:dyDescent="0.2">
      <c r="B479" s="299" t="s">
        <v>305</v>
      </c>
      <c r="C479" s="300"/>
      <c r="D479" s="320"/>
      <c r="E479" s="279">
        <v>0</v>
      </c>
      <c r="F479" s="279">
        <v>0</v>
      </c>
      <c r="G479" s="279">
        <v>0</v>
      </c>
      <c r="H479" s="279">
        <v>0</v>
      </c>
      <c r="I479" s="279">
        <v>0</v>
      </c>
      <c r="J479" s="324"/>
    </row>
    <row r="480" spans="2:10" ht="15" x14ac:dyDescent="0.25">
      <c r="B480" s="322" t="s">
        <v>317</v>
      </c>
      <c r="C480" s="306"/>
      <c r="D480" s="304">
        <f t="shared" ref="D480:I480" si="891">D476*D477</f>
        <v>906642.29604000016</v>
      </c>
      <c r="E480" s="304">
        <f t="shared" si="891"/>
        <v>973569.06178999995</v>
      </c>
      <c r="F480" s="304">
        <f t="shared" si="891"/>
        <v>1048838.4931806598</v>
      </c>
      <c r="G480" s="304">
        <f t="shared" si="891"/>
        <v>1136089.480137855</v>
      </c>
      <c r="H480" s="304">
        <f t="shared" si="891"/>
        <v>1237922.2997377713</v>
      </c>
      <c r="I480" s="304">
        <f t="shared" si="891"/>
        <v>1356761.4890690385</v>
      </c>
      <c r="J480" s="324"/>
    </row>
    <row r="481" spans="2:10" x14ac:dyDescent="0.2">
      <c r="B481" s="299" t="s">
        <v>320</v>
      </c>
      <c r="C481" s="306" t="s">
        <v>45</v>
      </c>
      <c r="D481" s="302">
        <f>+P65</f>
        <v>18</v>
      </c>
      <c r="E481" s="302">
        <f>+D481*(1+E482)*(1+E483)</f>
        <v>18.593999999999998</v>
      </c>
      <c r="F481" s="302">
        <f>+E481*(1+F482)*(1+F483)</f>
        <v>19.263383999999999</v>
      </c>
      <c r="G481" s="302">
        <f>+F481*(1+G482)*(1+G483)</f>
        <v>20.072446127999999</v>
      </c>
      <c r="H481" s="302">
        <f>+G481*(1+H482)*(1+H483)</f>
        <v>21.035923542144001</v>
      </c>
      <c r="I481" s="302">
        <f>+H481*(1+I482)*(1+I483)</f>
        <v>22.171863413419779</v>
      </c>
      <c r="J481" s="324"/>
    </row>
    <row r="482" spans="2:10" x14ac:dyDescent="0.2">
      <c r="B482" s="299" t="s">
        <v>318</v>
      </c>
      <c r="C482" s="306" t="s">
        <v>160</v>
      </c>
      <c r="D482" s="320"/>
      <c r="E482" s="321">
        <f>+$E$408</f>
        <v>3.3000000000000002E-2</v>
      </c>
      <c r="F482" s="321">
        <f>+$F$408</f>
        <v>3.5999999999999997E-2</v>
      </c>
      <c r="G482" s="321">
        <f>+$G$408</f>
        <v>4.2000000000000003E-2</v>
      </c>
      <c r="H482" s="321">
        <f>+$H$408</f>
        <v>4.8000000000000001E-2</v>
      </c>
      <c r="I482" s="321">
        <f>+$I$408</f>
        <v>5.3999999999999999E-2</v>
      </c>
      <c r="J482" s="324"/>
    </row>
    <row r="483" spans="2:10" x14ac:dyDescent="0.2">
      <c r="B483" s="299" t="s">
        <v>305</v>
      </c>
      <c r="C483" s="300"/>
      <c r="D483" s="320"/>
      <c r="E483" s="279">
        <v>0</v>
      </c>
      <c r="F483" s="279">
        <v>0</v>
      </c>
      <c r="G483" s="279">
        <v>0</v>
      </c>
      <c r="H483" s="279">
        <v>0</v>
      </c>
      <c r="I483" s="279">
        <v>0</v>
      </c>
      <c r="J483" s="324"/>
    </row>
    <row r="484" spans="2:10" ht="15" x14ac:dyDescent="0.25">
      <c r="B484" s="322" t="s">
        <v>317</v>
      </c>
      <c r="C484" s="306"/>
      <c r="D484" s="323">
        <f t="shared" ref="D484:I484" si="892">+D481*D476</f>
        <v>28224.720000000005</v>
      </c>
      <c r="E484" s="323">
        <f t="shared" si="892"/>
        <v>30308.219999999998</v>
      </c>
      <c r="F484" s="323">
        <f t="shared" si="892"/>
        <v>32651.435879999997</v>
      </c>
      <c r="G484" s="323">
        <f t="shared" si="892"/>
        <v>35367.650077535996</v>
      </c>
      <c r="H484" s="323">
        <f t="shared" si="892"/>
        <v>38537.811929207812</v>
      </c>
      <c r="I484" s="323">
        <f t="shared" si="892"/>
        <v>42237.39980256468</v>
      </c>
      <c r="J484" s="324"/>
    </row>
    <row r="485" spans="2:10" x14ac:dyDescent="0.2">
      <c r="B485" s="299" t="s">
        <v>321</v>
      </c>
      <c r="C485" s="306" t="s">
        <v>45</v>
      </c>
      <c r="D485" s="302">
        <f>+P67</f>
        <v>0</v>
      </c>
      <c r="E485" s="302">
        <f>+D485*(1+E486)*(1+E487)</f>
        <v>0</v>
      </c>
      <c r="F485" s="302">
        <f>+E485*(1+F486)*(1+F487)</f>
        <v>0</v>
      </c>
      <c r="G485" s="302">
        <f>+F485*(1+G486)*(1+G487)</f>
        <v>0</v>
      </c>
      <c r="H485" s="302">
        <f>+G485*(1+H486)*(1+H487)</f>
        <v>0</v>
      </c>
      <c r="I485" s="302">
        <f>+H485*(1+I486)*(1+I487)</f>
        <v>0</v>
      </c>
    </row>
    <row r="486" spans="2:10" x14ac:dyDescent="0.2">
      <c r="B486" s="299" t="s">
        <v>318</v>
      </c>
      <c r="C486" s="306" t="s">
        <v>160</v>
      </c>
      <c r="D486" s="320"/>
      <c r="E486" s="321">
        <f>+$E$408</f>
        <v>3.3000000000000002E-2</v>
      </c>
      <c r="F486" s="321">
        <f>+$F$408</f>
        <v>3.5999999999999997E-2</v>
      </c>
      <c r="G486" s="321">
        <f>+$G$408</f>
        <v>4.2000000000000003E-2</v>
      </c>
      <c r="H486" s="321">
        <f>+$H$408</f>
        <v>4.8000000000000001E-2</v>
      </c>
      <c r="I486" s="321">
        <f>+$I$408</f>
        <v>5.3999999999999999E-2</v>
      </c>
    </row>
    <row r="487" spans="2:10" x14ac:dyDescent="0.2">
      <c r="B487" s="299" t="s">
        <v>305</v>
      </c>
      <c r="C487" s="300"/>
      <c r="D487" s="320"/>
      <c r="E487" s="279">
        <v>0</v>
      </c>
      <c r="F487" s="279">
        <v>0</v>
      </c>
      <c r="G487" s="279">
        <v>0</v>
      </c>
      <c r="H487" s="279">
        <v>0</v>
      </c>
      <c r="I487" s="279">
        <v>0</v>
      </c>
    </row>
    <row r="488" spans="2:10" ht="15" x14ac:dyDescent="0.25">
      <c r="B488" s="322" t="s">
        <v>317</v>
      </c>
      <c r="C488" s="306"/>
      <c r="D488" s="323">
        <f t="shared" ref="D488:I488" si="893">+D485*D476</f>
        <v>0</v>
      </c>
      <c r="E488" s="323">
        <f t="shared" si="893"/>
        <v>0</v>
      </c>
      <c r="F488" s="323">
        <f t="shared" si="893"/>
        <v>0</v>
      </c>
      <c r="G488" s="323">
        <f t="shared" si="893"/>
        <v>0</v>
      </c>
      <c r="H488" s="323">
        <f t="shared" si="893"/>
        <v>0</v>
      </c>
      <c r="I488" s="323">
        <f t="shared" si="893"/>
        <v>0</v>
      </c>
    </row>
    <row r="489" spans="2:10" x14ac:dyDescent="0.2">
      <c r="B489" s="316" t="str">
        <f>+Ingresos!B437</f>
        <v>Arveja Verde</v>
      </c>
      <c r="C489" s="317"/>
      <c r="D489" s="318"/>
      <c r="E489" s="318"/>
      <c r="F489" s="318"/>
      <c r="G489" s="318"/>
      <c r="H489" s="318"/>
      <c r="I489" s="318"/>
      <c r="J489" s="324"/>
    </row>
    <row r="490" spans="2:10" x14ac:dyDescent="0.2">
      <c r="B490" s="299" t="s">
        <v>159</v>
      </c>
      <c r="C490" s="319"/>
      <c r="D490" s="302">
        <f>+P70</f>
        <v>7840.2000000000016</v>
      </c>
      <c r="E490" s="302">
        <f>+Ingresos!D438</f>
        <v>8153</v>
      </c>
      <c r="F490" s="302">
        <f>+Ingresos!E438</f>
        <v>8479</v>
      </c>
      <c r="G490" s="302">
        <f>+Ingresos!F438</f>
        <v>8818</v>
      </c>
      <c r="H490" s="302">
        <f>+Ingresos!G438</f>
        <v>9170</v>
      </c>
      <c r="I490" s="302">
        <f>+Ingresos!H438</f>
        <v>9536</v>
      </c>
      <c r="J490" s="324"/>
    </row>
    <row r="491" spans="2:10" x14ac:dyDescent="0.2">
      <c r="B491" s="299" t="s">
        <v>319</v>
      </c>
      <c r="C491" s="306" t="s">
        <v>45</v>
      </c>
      <c r="D491" s="302">
        <f>+P71</f>
        <v>3334.5</v>
      </c>
      <c r="E491" s="302">
        <f>+D491*(1+E492)*(1+E493)</f>
        <v>3444.5384999999997</v>
      </c>
      <c r="F491" s="302">
        <f>+E491*(1+F492)*(1+F493)</f>
        <v>3568.541886</v>
      </c>
      <c r="G491" s="302">
        <f>+F491*(1+G492)*(1+G493)</f>
        <v>3718.4206452120002</v>
      </c>
      <c r="H491" s="302">
        <f>+G491*(1+H492)*(1+H493)</f>
        <v>3896.9048361821765</v>
      </c>
      <c r="I491" s="302">
        <f>+H491*(1+I492)*(1+I493)</f>
        <v>4107.3376973360146</v>
      </c>
      <c r="J491" s="324"/>
    </row>
    <row r="492" spans="2:10" x14ac:dyDescent="0.2">
      <c r="B492" s="299" t="s">
        <v>318</v>
      </c>
      <c r="C492" s="306" t="s">
        <v>160</v>
      </c>
      <c r="D492" s="320"/>
      <c r="E492" s="321">
        <f>E478</f>
        <v>3.3000000000000002E-2</v>
      </c>
      <c r="F492" s="321">
        <f>F478</f>
        <v>3.5999999999999997E-2</v>
      </c>
      <c r="G492" s="321">
        <f>G478</f>
        <v>4.2000000000000003E-2</v>
      </c>
      <c r="H492" s="321">
        <f>H478</f>
        <v>4.8000000000000001E-2</v>
      </c>
      <c r="I492" s="321">
        <f>I478</f>
        <v>5.3999999999999999E-2</v>
      </c>
      <c r="J492" s="324"/>
    </row>
    <row r="493" spans="2:10" x14ac:dyDescent="0.2">
      <c r="B493" s="299" t="s">
        <v>305</v>
      </c>
      <c r="C493" s="300"/>
      <c r="D493" s="320"/>
      <c r="E493" s="279">
        <v>0</v>
      </c>
      <c r="F493" s="279">
        <v>0</v>
      </c>
      <c r="G493" s="279">
        <v>0</v>
      </c>
      <c r="H493" s="279">
        <v>0</v>
      </c>
      <c r="I493" s="279">
        <v>0</v>
      </c>
      <c r="J493" s="324"/>
    </row>
    <row r="494" spans="2:10" ht="15" x14ac:dyDescent="0.25">
      <c r="B494" s="322" t="s">
        <v>317</v>
      </c>
      <c r="C494" s="306"/>
      <c r="D494" s="304">
        <f t="shared" ref="D494:I494" si="894">D490*D491</f>
        <v>26143146.900000006</v>
      </c>
      <c r="E494" s="304">
        <f t="shared" si="894"/>
        <v>28083322.390499998</v>
      </c>
      <c r="F494" s="304">
        <f t="shared" si="894"/>
        <v>30257666.651393998</v>
      </c>
      <c r="G494" s="304">
        <f t="shared" si="894"/>
        <v>32789033.249479417</v>
      </c>
      <c r="H494" s="304">
        <f t="shared" si="894"/>
        <v>35734617.347790562</v>
      </c>
      <c r="I494" s="304">
        <f t="shared" si="894"/>
        <v>39167572.281796232</v>
      </c>
      <c r="J494" s="324"/>
    </row>
    <row r="495" spans="2:10" x14ac:dyDescent="0.2">
      <c r="B495" s="299" t="s">
        <v>320</v>
      </c>
      <c r="C495" s="306" t="s">
        <v>45</v>
      </c>
      <c r="D495" s="302">
        <f>+P73</f>
        <v>489.16</v>
      </c>
      <c r="E495" s="302">
        <f>+D495*(1+E496)*(1+E497)</f>
        <v>505.30228</v>
      </c>
      <c r="F495" s="302">
        <f>+E495*(1+F496)*(1+F497)</f>
        <v>523.49316208000005</v>
      </c>
      <c r="G495" s="302">
        <f>+F495*(1+G496)*(1+G497)</f>
        <v>545.4798748873601</v>
      </c>
      <c r="H495" s="302">
        <f>+G495*(1+H496)*(1+H497)</f>
        <v>571.6629088819534</v>
      </c>
      <c r="I495" s="302">
        <f>+H495*(1+I496)*(1+I497)</f>
        <v>602.53270596157893</v>
      </c>
      <c r="J495" s="324"/>
    </row>
    <row r="496" spans="2:10" x14ac:dyDescent="0.2">
      <c r="B496" s="299" t="s">
        <v>318</v>
      </c>
      <c r="C496" s="306" t="s">
        <v>160</v>
      </c>
      <c r="D496" s="320"/>
      <c r="E496" s="321">
        <f>+$E$408</f>
        <v>3.3000000000000002E-2</v>
      </c>
      <c r="F496" s="321">
        <f>+$F$408</f>
        <v>3.5999999999999997E-2</v>
      </c>
      <c r="G496" s="321">
        <f>+$G$408</f>
        <v>4.2000000000000003E-2</v>
      </c>
      <c r="H496" s="321">
        <f>+$H$408</f>
        <v>4.8000000000000001E-2</v>
      </c>
      <c r="I496" s="321">
        <f>+$I$408</f>
        <v>5.3999999999999999E-2</v>
      </c>
      <c r="J496" s="324"/>
    </row>
    <row r="497" spans="2:10" x14ac:dyDescent="0.2">
      <c r="B497" s="299" t="s">
        <v>305</v>
      </c>
      <c r="C497" s="300"/>
      <c r="D497" s="320"/>
      <c r="E497" s="279">
        <v>0</v>
      </c>
      <c r="F497" s="279">
        <v>0</v>
      </c>
      <c r="G497" s="279">
        <v>0</v>
      </c>
      <c r="H497" s="279">
        <v>0</v>
      </c>
      <c r="I497" s="279">
        <v>0</v>
      </c>
      <c r="J497" s="324"/>
    </row>
    <row r="498" spans="2:10" ht="15" x14ac:dyDescent="0.25">
      <c r="B498" s="322" t="s">
        <v>317</v>
      </c>
      <c r="C498" s="306"/>
      <c r="D498" s="323">
        <f t="shared" ref="D498:I498" si="895">+D495*D490</f>
        <v>3835112.2320000008</v>
      </c>
      <c r="E498" s="323">
        <f t="shared" si="895"/>
        <v>4119729.4888399998</v>
      </c>
      <c r="F498" s="323">
        <f t="shared" si="895"/>
        <v>4438698.5212763203</v>
      </c>
      <c r="G498" s="323">
        <f t="shared" si="895"/>
        <v>4810041.5367567409</v>
      </c>
      <c r="H498" s="323">
        <f t="shared" si="895"/>
        <v>5242148.8744475124</v>
      </c>
      <c r="I498" s="323">
        <f t="shared" si="895"/>
        <v>5745751.8840496168</v>
      </c>
      <c r="J498" s="324"/>
    </row>
    <row r="499" spans="2:10" x14ac:dyDescent="0.2">
      <c r="B499" s="299" t="s">
        <v>321</v>
      </c>
      <c r="C499" s="306" t="s">
        <v>45</v>
      </c>
      <c r="D499" s="302">
        <f>+P75</f>
        <v>0</v>
      </c>
      <c r="E499" s="302">
        <f>+D499*(1+E500)*(1+E501)</f>
        <v>0</v>
      </c>
      <c r="F499" s="302">
        <f>+E499*(1+F500)*(1+F501)</f>
        <v>0</v>
      </c>
      <c r="G499" s="302">
        <f>+F499*(1+G500)*(1+G501)</f>
        <v>0</v>
      </c>
      <c r="H499" s="302">
        <f>+G499*(1+H500)*(1+H501)</f>
        <v>0</v>
      </c>
      <c r="I499" s="302">
        <f>+H499*(1+I500)*(1+I501)</f>
        <v>0</v>
      </c>
    </row>
    <row r="500" spans="2:10" x14ac:dyDescent="0.2">
      <c r="B500" s="299" t="s">
        <v>318</v>
      </c>
      <c r="C500" s="306" t="s">
        <v>160</v>
      </c>
      <c r="D500" s="320"/>
      <c r="E500" s="321">
        <f>+$E$408</f>
        <v>3.3000000000000002E-2</v>
      </c>
      <c r="F500" s="321">
        <f>+$F$408</f>
        <v>3.5999999999999997E-2</v>
      </c>
      <c r="G500" s="321">
        <f>+$G$408</f>
        <v>4.2000000000000003E-2</v>
      </c>
      <c r="H500" s="321">
        <f>+$H$408</f>
        <v>4.8000000000000001E-2</v>
      </c>
      <c r="I500" s="321">
        <f>+$I$408</f>
        <v>5.3999999999999999E-2</v>
      </c>
    </row>
    <row r="501" spans="2:10" x14ac:dyDescent="0.2">
      <c r="B501" s="299" t="s">
        <v>305</v>
      </c>
      <c r="C501" s="300"/>
      <c r="D501" s="320"/>
      <c r="E501" s="279">
        <v>0</v>
      </c>
      <c r="F501" s="279">
        <v>0</v>
      </c>
      <c r="G501" s="279">
        <v>0</v>
      </c>
      <c r="H501" s="279">
        <v>0</v>
      </c>
      <c r="I501" s="279">
        <v>0</v>
      </c>
    </row>
    <row r="502" spans="2:10" ht="15" x14ac:dyDescent="0.25">
      <c r="B502" s="322" t="s">
        <v>317</v>
      </c>
      <c r="C502" s="306"/>
      <c r="D502" s="323">
        <f t="shared" ref="D502:I502" si="896">+D499*D490</f>
        <v>0</v>
      </c>
      <c r="E502" s="323">
        <f t="shared" si="896"/>
        <v>0</v>
      </c>
      <c r="F502" s="323">
        <f t="shared" si="896"/>
        <v>0</v>
      </c>
      <c r="G502" s="323">
        <f t="shared" si="896"/>
        <v>0</v>
      </c>
      <c r="H502" s="323">
        <f t="shared" si="896"/>
        <v>0</v>
      </c>
      <c r="I502" s="323">
        <f t="shared" si="896"/>
        <v>0</v>
      </c>
    </row>
    <row r="503" spans="2:10" x14ac:dyDescent="0.2">
      <c r="B503" s="316" t="str">
        <f>+Ingresos!B445</f>
        <v>Brócoli</v>
      </c>
      <c r="C503" s="317"/>
      <c r="D503" s="318"/>
      <c r="E503" s="318"/>
      <c r="F503" s="318"/>
      <c r="G503" s="318"/>
      <c r="H503" s="318"/>
      <c r="I503" s="318"/>
      <c r="J503" s="324"/>
    </row>
    <row r="504" spans="2:10" x14ac:dyDescent="0.2">
      <c r="B504" s="299" t="s">
        <v>159</v>
      </c>
      <c r="C504" s="319"/>
      <c r="D504" s="302">
        <f>+P78</f>
        <v>217.80000000000004</v>
      </c>
      <c r="E504" s="302">
        <f>+Ingresos!D446</f>
        <v>226</v>
      </c>
      <c r="F504" s="302">
        <f>+Ingresos!E446</f>
        <v>235</v>
      </c>
      <c r="G504" s="302">
        <f>+Ingresos!F446</f>
        <v>244</v>
      </c>
      <c r="H504" s="302">
        <f>+Ingresos!G446</f>
        <v>253</v>
      </c>
      <c r="I504" s="302">
        <f>+Ingresos!H446</f>
        <v>263</v>
      </c>
      <c r="J504" s="324"/>
    </row>
    <row r="505" spans="2:10" x14ac:dyDescent="0.2">
      <c r="B505" s="299" t="s">
        <v>319</v>
      </c>
      <c r="C505" s="306" t="s">
        <v>45</v>
      </c>
      <c r="D505" s="302">
        <f>+P79</f>
        <v>1044.9660000000001</v>
      </c>
      <c r="E505" s="302">
        <f>+D505*(1+E506)*(1+E507)</f>
        <v>1079.4498780000001</v>
      </c>
      <c r="F505" s="302">
        <f>+E505*(1+F506)*(1+F507)</f>
        <v>1118.3100736080003</v>
      </c>
      <c r="G505" s="302">
        <f>+F505*(1+G506)*(1+G507)</f>
        <v>1165.2790966995362</v>
      </c>
      <c r="H505" s="302">
        <f>+G505*(1+H506)*(1+H507)</f>
        <v>1221.2124933411139</v>
      </c>
      <c r="I505" s="302">
        <f>+H505*(1+I506)*(1+I507)</f>
        <v>1287.1579679815341</v>
      </c>
      <c r="J505" s="324"/>
    </row>
    <row r="506" spans="2:10" x14ac:dyDescent="0.2">
      <c r="B506" s="299" t="s">
        <v>318</v>
      </c>
      <c r="C506" s="306" t="s">
        <v>160</v>
      </c>
      <c r="D506" s="320"/>
      <c r="E506" s="321">
        <f>E492</f>
        <v>3.3000000000000002E-2</v>
      </c>
      <c r="F506" s="321">
        <f>F492</f>
        <v>3.5999999999999997E-2</v>
      </c>
      <c r="G506" s="321">
        <f>G492</f>
        <v>4.2000000000000003E-2</v>
      </c>
      <c r="H506" s="321">
        <f>H492</f>
        <v>4.8000000000000001E-2</v>
      </c>
      <c r="I506" s="321">
        <f>I492</f>
        <v>5.3999999999999999E-2</v>
      </c>
      <c r="J506" s="324"/>
    </row>
    <row r="507" spans="2:10" x14ac:dyDescent="0.2">
      <c r="B507" s="299" t="s">
        <v>305</v>
      </c>
      <c r="C507" s="300"/>
      <c r="D507" s="320"/>
      <c r="E507" s="279">
        <v>0</v>
      </c>
      <c r="F507" s="279">
        <v>0</v>
      </c>
      <c r="G507" s="279">
        <v>0</v>
      </c>
      <c r="H507" s="279">
        <v>0</v>
      </c>
      <c r="I507" s="279">
        <v>0</v>
      </c>
      <c r="J507" s="324"/>
    </row>
    <row r="508" spans="2:10" ht="15" x14ac:dyDescent="0.25">
      <c r="B508" s="322" t="s">
        <v>317</v>
      </c>
      <c r="C508" s="306"/>
      <c r="D508" s="304">
        <f t="shared" ref="D508:I508" si="897">D504*D505</f>
        <v>227593.59480000008</v>
      </c>
      <c r="E508" s="304">
        <f t="shared" si="897"/>
        <v>243955.67242800002</v>
      </c>
      <c r="F508" s="304">
        <f t="shared" si="897"/>
        <v>262802.86729788006</v>
      </c>
      <c r="G508" s="304">
        <f t="shared" si="897"/>
        <v>284328.09959468682</v>
      </c>
      <c r="H508" s="304">
        <f t="shared" si="897"/>
        <v>308966.76081530185</v>
      </c>
      <c r="I508" s="304">
        <f t="shared" si="897"/>
        <v>338522.54557914345</v>
      </c>
      <c r="J508" s="324"/>
    </row>
    <row r="509" spans="2:10" x14ac:dyDescent="0.2">
      <c r="B509" s="299" t="s">
        <v>320</v>
      </c>
      <c r="C509" s="306" t="s">
        <v>45</v>
      </c>
      <c r="D509" s="302">
        <f>+P81</f>
        <v>97.81</v>
      </c>
      <c r="E509" s="302">
        <f>+D509*(1+E510)*(1+E511)</f>
        <v>101.03773</v>
      </c>
      <c r="F509" s="302">
        <f>+E509*(1+F510)*(1+F511)</f>
        <v>104.67508828</v>
      </c>
      <c r="G509" s="302">
        <f>+F509*(1+G510)*(1+G511)</f>
        <v>109.07144198776</v>
      </c>
      <c r="H509" s="302">
        <f>+G509*(1+H510)*(1+H511)</f>
        <v>114.30687120317248</v>
      </c>
      <c r="I509" s="302">
        <f>+H509*(1+I510)*(1+I511)</f>
        <v>120.4794422481438</v>
      </c>
      <c r="J509" s="324"/>
    </row>
    <row r="510" spans="2:10" x14ac:dyDescent="0.2">
      <c r="B510" s="299" t="s">
        <v>318</v>
      </c>
      <c r="C510" s="306" t="s">
        <v>160</v>
      </c>
      <c r="D510" s="320"/>
      <c r="E510" s="321">
        <f>+$E$408</f>
        <v>3.3000000000000002E-2</v>
      </c>
      <c r="F510" s="321">
        <f>+$F$408</f>
        <v>3.5999999999999997E-2</v>
      </c>
      <c r="G510" s="321">
        <f>+$G$408</f>
        <v>4.2000000000000003E-2</v>
      </c>
      <c r="H510" s="321">
        <f>+$H$408</f>
        <v>4.8000000000000001E-2</v>
      </c>
      <c r="I510" s="321">
        <f>+$I$408</f>
        <v>5.3999999999999999E-2</v>
      </c>
      <c r="J510" s="324"/>
    </row>
    <row r="511" spans="2:10" x14ac:dyDescent="0.2">
      <c r="B511" s="299" t="s">
        <v>305</v>
      </c>
      <c r="C511" s="300"/>
      <c r="D511" s="320"/>
      <c r="E511" s="279">
        <v>0</v>
      </c>
      <c r="F511" s="279">
        <v>0</v>
      </c>
      <c r="G511" s="279">
        <v>0</v>
      </c>
      <c r="H511" s="279">
        <v>0</v>
      </c>
      <c r="I511" s="279">
        <v>0</v>
      </c>
      <c r="J511" s="324"/>
    </row>
    <row r="512" spans="2:10" ht="15" x14ac:dyDescent="0.25">
      <c r="B512" s="322" t="s">
        <v>317</v>
      </c>
      <c r="C512" s="306"/>
      <c r="D512" s="323">
        <f t="shared" ref="D512:I512" si="898">+D509*D504</f>
        <v>21303.018000000004</v>
      </c>
      <c r="E512" s="323">
        <f t="shared" si="898"/>
        <v>22834.526979999999</v>
      </c>
      <c r="F512" s="323">
        <f t="shared" si="898"/>
        <v>24598.6457458</v>
      </c>
      <c r="G512" s="323">
        <f t="shared" si="898"/>
        <v>26613.431845013438</v>
      </c>
      <c r="H512" s="323">
        <f t="shared" si="898"/>
        <v>28919.638414402638</v>
      </c>
      <c r="I512" s="323">
        <f t="shared" si="898"/>
        <v>31686.093311261819</v>
      </c>
      <c r="J512" s="324"/>
    </row>
    <row r="513" spans="2:10" x14ac:dyDescent="0.2">
      <c r="B513" s="299" t="s">
        <v>321</v>
      </c>
      <c r="C513" s="306" t="s">
        <v>45</v>
      </c>
      <c r="D513" s="302">
        <f>+P83</f>
        <v>0</v>
      </c>
      <c r="E513" s="302">
        <f>+D513*(1+E514)*(1+E515)</f>
        <v>0</v>
      </c>
      <c r="F513" s="302">
        <f>+E513*(1+F514)*(1+F515)</f>
        <v>0</v>
      </c>
      <c r="G513" s="302">
        <f>+F513*(1+G514)*(1+G515)</f>
        <v>0</v>
      </c>
      <c r="H513" s="302">
        <f>+G513*(1+H514)*(1+H515)</f>
        <v>0</v>
      </c>
      <c r="I513" s="302">
        <f>+H513*(1+I514)*(1+I515)</f>
        <v>0</v>
      </c>
    </row>
    <row r="514" spans="2:10" x14ac:dyDescent="0.2">
      <c r="B514" s="299" t="s">
        <v>318</v>
      </c>
      <c r="C514" s="306" t="s">
        <v>160</v>
      </c>
      <c r="D514" s="320"/>
      <c r="E514" s="321">
        <f>+$E$408</f>
        <v>3.3000000000000002E-2</v>
      </c>
      <c r="F514" s="321">
        <f>+$F$408</f>
        <v>3.5999999999999997E-2</v>
      </c>
      <c r="G514" s="321">
        <f>+$G$408</f>
        <v>4.2000000000000003E-2</v>
      </c>
      <c r="H514" s="321">
        <f>+$H$408</f>
        <v>4.8000000000000001E-2</v>
      </c>
      <c r="I514" s="321">
        <f>+$I$408</f>
        <v>5.3999999999999999E-2</v>
      </c>
    </row>
    <row r="515" spans="2:10" x14ac:dyDescent="0.2">
      <c r="B515" s="299" t="s">
        <v>305</v>
      </c>
      <c r="C515" s="300"/>
      <c r="D515" s="320"/>
      <c r="E515" s="279">
        <v>0</v>
      </c>
      <c r="F515" s="279">
        <v>0</v>
      </c>
      <c r="G515" s="279">
        <v>0</v>
      </c>
      <c r="H515" s="279">
        <v>0</v>
      </c>
      <c r="I515" s="279">
        <v>0</v>
      </c>
    </row>
    <row r="516" spans="2:10" ht="15" x14ac:dyDescent="0.25">
      <c r="B516" s="322" t="s">
        <v>317</v>
      </c>
      <c r="C516" s="306"/>
      <c r="D516" s="323">
        <f t="shared" ref="D516:I516" si="899">+D513*D504</f>
        <v>0</v>
      </c>
      <c r="E516" s="323">
        <f t="shared" si="899"/>
        <v>0</v>
      </c>
      <c r="F516" s="323">
        <f t="shared" si="899"/>
        <v>0</v>
      </c>
      <c r="G516" s="323">
        <f t="shared" si="899"/>
        <v>0</v>
      </c>
      <c r="H516" s="323">
        <f t="shared" si="899"/>
        <v>0</v>
      </c>
      <c r="I516" s="323">
        <f t="shared" si="899"/>
        <v>0</v>
      </c>
    </row>
    <row r="517" spans="2:10" x14ac:dyDescent="0.2">
      <c r="B517" s="316" t="str">
        <f>+Ingresos!B453</f>
        <v>Cebolla Blanca</v>
      </c>
      <c r="C517" s="317"/>
      <c r="D517" s="318"/>
      <c r="E517" s="318"/>
      <c r="F517" s="318"/>
      <c r="G517" s="318"/>
      <c r="H517" s="318"/>
      <c r="I517" s="318"/>
      <c r="J517" s="324"/>
    </row>
    <row r="518" spans="2:10" x14ac:dyDescent="0.2">
      <c r="B518" s="299" t="s">
        <v>159</v>
      </c>
      <c r="C518" s="319"/>
      <c r="D518" s="302">
        <f>+P86</f>
        <v>7578.96</v>
      </c>
      <c r="E518" s="302">
        <f>+Ingresos!D454</f>
        <v>7882</v>
      </c>
      <c r="F518" s="302">
        <f>+Ingresos!E454</f>
        <v>8197</v>
      </c>
      <c r="G518" s="302">
        <f>+Ingresos!F454</f>
        <v>8524</v>
      </c>
      <c r="H518" s="302">
        <f>+Ingresos!G454</f>
        <v>8864</v>
      </c>
      <c r="I518" s="302">
        <f>+Ingresos!H454</f>
        <v>9218</v>
      </c>
      <c r="J518" s="324"/>
    </row>
    <row r="519" spans="2:10" x14ac:dyDescent="0.2">
      <c r="B519" s="299" t="s">
        <v>319</v>
      </c>
      <c r="C519" s="306" t="s">
        <v>45</v>
      </c>
      <c r="D519" s="302">
        <f>+P87</f>
        <v>1667.25</v>
      </c>
      <c r="E519" s="302">
        <f>+D519*(1+E520)*(1+E521)</f>
        <v>1722.2692499999998</v>
      </c>
      <c r="F519" s="302">
        <f>+E519*(1+F520)*(1+F521)</f>
        <v>1784.270943</v>
      </c>
      <c r="G519" s="302">
        <f>+F519*(1+G520)*(1+G521)</f>
        <v>1859.2103226060001</v>
      </c>
      <c r="H519" s="302">
        <f>+G519*(1+H520)*(1+H521)</f>
        <v>1948.4524180910882</v>
      </c>
      <c r="I519" s="302">
        <f>+H519*(1+I520)*(1+I521)</f>
        <v>2053.6688486680073</v>
      </c>
      <c r="J519" s="324"/>
    </row>
    <row r="520" spans="2:10" x14ac:dyDescent="0.2">
      <c r="B520" s="299" t="s">
        <v>318</v>
      </c>
      <c r="C520" s="306" t="s">
        <v>160</v>
      </c>
      <c r="D520" s="320"/>
      <c r="E520" s="321">
        <f>E506</f>
        <v>3.3000000000000002E-2</v>
      </c>
      <c r="F520" s="321">
        <f>F506</f>
        <v>3.5999999999999997E-2</v>
      </c>
      <c r="G520" s="321">
        <f>G506</f>
        <v>4.2000000000000003E-2</v>
      </c>
      <c r="H520" s="321">
        <f>H506</f>
        <v>4.8000000000000001E-2</v>
      </c>
      <c r="I520" s="321">
        <f>+$I$408</f>
        <v>5.3999999999999999E-2</v>
      </c>
      <c r="J520" s="324"/>
    </row>
    <row r="521" spans="2:10" x14ac:dyDescent="0.2">
      <c r="B521" s="299" t="s">
        <v>305</v>
      </c>
      <c r="C521" s="300"/>
      <c r="D521" s="320"/>
      <c r="E521" s="279">
        <v>0</v>
      </c>
      <c r="F521" s="279">
        <v>0</v>
      </c>
      <c r="G521" s="279">
        <v>0</v>
      </c>
      <c r="H521" s="279">
        <v>0</v>
      </c>
      <c r="I521" s="279">
        <v>0</v>
      </c>
      <c r="J521" s="324"/>
    </row>
    <row r="522" spans="2:10" ht="15" x14ac:dyDescent="0.25">
      <c r="B522" s="322" t="s">
        <v>317</v>
      </c>
      <c r="C522" s="306"/>
      <c r="D522" s="304">
        <f t="shared" ref="D522:I522" si="900">D518*D519</f>
        <v>12636021.060000001</v>
      </c>
      <c r="E522" s="304">
        <f t="shared" si="900"/>
        <v>13574926.228499999</v>
      </c>
      <c r="F522" s="304">
        <f t="shared" si="900"/>
        <v>14625668.919771001</v>
      </c>
      <c r="G522" s="304">
        <f t="shared" si="900"/>
        <v>15847908.789893545</v>
      </c>
      <c r="H522" s="304">
        <f t="shared" si="900"/>
        <v>17271082.233959407</v>
      </c>
      <c r="I522" s="304">
        <f t="shared" si="900"/>
        <v>18930719.447021693</v>
      </c>
      <c r="J522" s="324"/>
    </row>
    <row r="523" spans="2:10" x14ac:dyDescent="0.2">
      <c r="B523" s="299" t="s">
        <v>320</v>
      </c>
      <c r="C523" s="306" t="s">
        <v>45</v>
      </c>
      <c r="D523" s="302">
        <f>+P89</f>
        <v>204.16</v>
      </c>
      <c r="E523" s="302">
        <f>+D523*(1+E524)*(1+E525)</f>
        <v>210.89727999999997</v>
      </c>
      <c r="F523" s="302">
        <f>+E523*(1+F524)*(1+F525)</f>
        <v>218.48958207999996</v>
      </c>
      <c r="G523" s="302">
        <f>+F523*(1+G524)*(1+G525)</f>
        <v>227.66614452735996</v>
      </c>
      <c r="H523" s="302">
        <f>+G523*(1+H524)*(1+H525)</f>
        <v>238.59411946467324</v>
      </c>
      <c r="I523" s="302">
        <f>+H523*(1+I524)*(1+I525)</f>
        <v>251.4782019157656</v>
      </c>
      <c r="J523" s="324"/>
    </row>
    <row r="524" spans="2:10" x14ac:dyDescent="0.2">
      <c r="B524" s="299" t="s">
        <v>318</v>
      </c>
      <c r="C524" s="306" t="s">
        <v>160</v>
      </c>
      <c r="D524" s="320"/>
      <c r="E524" s="321">
        <f>+$E$408</f>
        <v>3.3000000000000002E-2</v>
      </c>
      <c r="F524" s="321">
        <f>+$F$408</f>
        <v>3.5999999999999997E-2</v>
      </c>
      <c r="G524" s="321">
        <f>+$G$408</f>
        <v>4.2000000000000003E-2</v>
      </c>
      <c r="H524" s="321">
        <f>+$H$408</f>
        <v>4.8000000000000001E-2</v>
      </c>
      <c r="I524" s="321">
        <f>+$I$408</f>
        <v>5.3999999999999999E-2</v>
      </c>
      <c r="J524" s="324"/>
    </row>
    <row r="525" spans="2:10" x14ac:dyDescent="0.2">
      <c r="B525" s="299" t="s">
        <v>305</v>
      </c>
      <c r="C525" s="300"/>
      <c r="D525" s="320"/>
      <c r="E525" s="279">
        <v>0</v>
      </c>
      <c r="F525" s="279">
        <v>0</v>
      </c>
      <c r="G525" s="279">
        <v>0</v>
      </c>
      <c r="H525" s="279">
        <v>0</v>
      </c>
      <c r="I525" s="279">
        <v>0</v>
      </c>
      <c r="J525" s="324"/>
    </row>
    <row r="526" spans="2:10" ht="15" x14ac:dyDescent="0.25">
      <c r="B526" s="322" t="s">
        <v>317</v>
      </c>
      <c r="C526" s="306"/>
      <c r="D526" s="323">
        <f t="shared" ref="D526:I526" si="901">+D523*D518</f>
        <v>1547320.4735999999</v>
      </c>
      <c r="E526" s="323">
        <f t="shared" si="901"/>
        <v>1662292.3609599997</v>
      </c>
      <c r="F526" s="323">
        <f t="shared" si="901"/>
        <v>1790959.1043097598</v>
      </c>
      <c r="G526" s="323">
        <f t="shared" si="901"/>
        <v>1940626.2159512164</v>
      </c>
      <c r="H526" s="323">
        <f t="shared" si="901"/>
        <v>2114898.2749348637</v>
      </c>
      <c r="I526" s="323">
        <f t="shared" si="901"/>
        <v>2318126.0652595274</v>
      </c>
      <c r="J526" s="324"/>
    </row>
    <row r="527" spans="2:10" x14ac:dyDescent="0.2">
      <c r="B527" s="299" t="s">
        <v>321</v>
      </c>
      <c r="C527" s="306" t="s">
        <v>45</v>
      </c>
      <c r="D527" s="302">
        <f>+P91</f>
        <v>0</v>
      </c>
      <c r="E527" s="302">
        <f>+D527*(1+E528)*(1+E529)</f>
        <v>0</v>
      </c>
      <c r="F527" s="302">
        <f>+E527*(1+F528)*(1+F529)</f>
        <v>0</v>
      </c>
      <c r="G527" s="302">
        <f>+F527*(1+G528)*(1+G529)</f>
        <v>0</v>
      </c>
      <c r="H527" s="302">
        <f>+G527*(1+H528)*(1+H529)</f>
        <v>0</v>
      </c>
      <c r="I527" s="302">
        <f>+H527*(1+I528)*(1+I529)</f>
        <v>0</v>
      </c>
    </row>
    <row r="528" spans="2:10" x14ac:dyDescent="0.2">
      <c r="B528" s="299" t="s">
        <v>318</v>
      </c>
      <c r="C528" s="306" t="s">
        <v>160</v>
      </c>
      <c r="D528" s="320"/>
      <c r="E528" s="321">
        <f>+$E$408</f>
        <v>3.3000000000000002E-2</v>
      </c>
      <c r="F528" s="321">
        <f>+$F$408</f>
        <v>3.5999999999999997E-2</v>
      </c>
      <c r="G528" s="321">
        <f>+$G$408</f>
        <v>4.2000000000000003E-2</v>
      </c>
      <c r="H528" s="321">
        <f>+$H$408</f>
        <v>4.8000000000000001E-2</v>
      </c>
      <c r="I528" s="321">
        <f>+$I$408</f>
        <v>5.3999999999999999E-2</v>
      </c>
    </row>
    <row r="529" spans="2:10" x14ac:dyDescent="0.2">
      <c r="B529" s="299" t="s">
        <v>305</v>
      </c>
      <c r="C529" s="300"/>
      <c r="D529" s="320"/>
      <c r="E529" s="279">
        <v>0</v>
      </c>
      <c r="F529" s="279">
        <v>0</v>
      </c>
      <c r="G529" s="279">
        <v>0</v>
      </c>
      <c r="H529" s="279">
        <v>0</v>
      </c>
      <c r="I529" s="279">
        <v>0</v>
      </c>
    </row>
    <row r="530" spans="2:10" ht="15" x14ac:dyDescent="0.25">
      <c r="B530" s="322" t="s">
        <v>317</v>
      </c>
      <c r="C530" s="306"/>
      <c r="D530" s="323">
        <f t="shared" ref="D530:I530" si="902">+D527*D518</f>
        <v>0</v>
      </c>
      <c r="E530" s="323">
        <f t="shared" si="902"/>
        <v>0</v>
      </c>
      <c r="F530" s="323">
        <f t="shared" si="902"/>
        <v>0</v>
      </c>
      <c r="G530" s="323">
        <f t="shared" si="902"/>
        <v>0</v>
      </c>
      <c r="H530" s="323">
        <f t="shared" si="902"/>
        <v>0</v>
      </c>
      <c r="I530" s="323">
        <f t="shared" si="902"/>
        <v>0</v>
      </c>
    </row>
    <row r="531" spans="2:10" x14ac:dyDescent="0.2">
      <c r="B531" s="316" t="str">
        <f>+Ingresos!B461</f>
        <v>Cebolla Junca</v>
      </c>
      <c r="C531" s="317"/>
      <c r="D531" s="318"/>
      <c r="E531" s="318"/>
      <c r="F531" s="318"/>
      <c r="G531" s="318"/>
      <c r="H531" s="318"/>
      <c r="I531" s="318"/>
      <c r="J531" s="324"/>
    </row>
    <row r="532" spans="2:10" x14ac:dyDescent="0.2">
      <c r="B532" s="299" t="s">
        <v>159</v>
      </c>
      <c r="C532" s="319"/>
      <c r="D532" s="302">
        <f>+P94</f>
        <v>10803.839999999998</v>
      </c>
      <c r="E532" s="302">
        <f>+Ingresos!D462</f>
        <v>11235</v>
      </c>
      <c r="F532" s="302">
        <f>+Ingresos!E462</f>
        <v>11684</v>
      </c>
      <c r="G532" s="302">
        <f>+Ingresos!F462</f>
        <v>12151</v>
      </c>
      <c r="H532" s="302">
        <f>+Ingresos!G462</f>
        <v>12637</v>
      </c>
      <c r="I532" s="302">
        <f>+Ingresos!H462</f>
        <v>13142</v>
      </c>
      <c r="J532" s="324"/>
    </row>
    <row r="533" spans="2:10" x14ac:dyDescent="0.2">
      <c r="B533" s="299" t="s">
        <v>319</v>
      </c>
      <c r="C533" s="306" t="s">
        <v>45</v>
      </c>
      <c r="D533" s="302">
        <f>+P95</f>
        <v>866.97</v>
      </c>
      <c r="E533" s="302">
        <f>+D533*(1+E534)*(1+E535)</f>
        <v>895.5800099999999</v>
      </c>
      <c r="F533" s="302">
        <f>+E533*(1+F534)*(1+F535)</f>
        <v>927.82089035999991</v>
      </c>
      <c r="G533" s="302">
        <f>+F533*(1+G534)*(1+G535)</f>
        <v>966.78936775511988</v>
      </c>
      <c r="H533" s="302">
        <f>+G533*(1+H534)*(1+H535)</f>
        <v>1013.1952574073657</v>
      </c>
      <c r="I533" s="302">
        <f>+H533*(1+I534)*(1+I535)</f>
        <v>1067.9078013073636</v>
      </c>
      <c r="J533" s="324"/>
    </row>
    <row r="534" spans="2:10" x14ac:dyDescent="0.2">
      <c r="B534" s="299" t="s">
        <v>318</v>
      </c>
      <c r="C534" s="306" t="s">
        <v>160</v>
      </c>
      <c r="D534" s="320"/>
      <c r="E534" s="321">
        <f>E520</f>
        <v>3.3000000000000002E-2</v>
      </c>
      <c r="F534" s="321">
        <f>F520</f>
        <v>3.5999999999999997E-2</v>
      </c>
      <c r="G534" s="321">
        <f>G520</f>
        <v>4.2000000000000003E-2</v>
      </c>
      <c r="H534" s="321">
        <f>H520</f>
        <v>4.8000000000000001E-2</v>
      </c>
      <c r="I534" s="321">
        <f>+$I$408</f>
        <v>5.3999999999999999E-2</v>
      </c>
      <c r="J534" s="324"/>
    </row>
    <row r="535" spans="2:10" x14ac:dyDescent="0.2">
      <c r="B535" s="299" t="s">
        <v>305</v>
      </c>
      <c r="C535" s="300"/>
      <c r="D535" s="320"/>
      <c r="E535" s="279">
        <v>0</v>
      </c>
      <c r="F535" s="279">
        <v>0</v>
      </c>
      <c r="G535" s="279">
        <v>0</v>
      </c>
      <c r="H535" s="279">
        <v>0</v>
      </c>
      <c r="I535" s="279">
        <v>0</v>
      </c>
      <c r="J535" s="324"/>
    </row>
    <row r="536" spans="2:10" ht="15" x14ac:dyDescent="0.25">
      <c r="B536" s="322" t="s">
        <v>317</v>
      </c>
      <c r="C536" s="306"/>
      <c r="D536" s="304">
        <f t="shared" ref="D536:I536" si="903">D532*D533</f>
        <v>9366605.1647999994</v>
      </c>
      <c r="E536" s="304">
        <f t="shared" si="903"/>
        <v>10061841.412349999</v>
      </c>
      <c r="F536" s="304">
        <f t="shared" si="903"/>
        <v>10840659.282966239</v>
      </c>
      <c r="G536" s="304">
        <f t="shared" si="903"/>
        <v>11747457.607592462</v>
      </c>
      <c r="H536" s="304">
        <f t="shared" si="903"/>
        <v>12803748.46785688</v>
      </c>
      <c r="I536" s="304">
        <f t="shared" si="903"/>
        <v>14034444.324781371</v>
      </c>
      <c r="J536" s="324"/>
    </row>
    <row r="537" spans="2:10" x14ac:dyDescent="0.2">
      <c r="B537" s="299" t="s">
        <v>320</v>
      </c>
      <c r="C537" s="306" t="s">
        <v>45</v>
      </c>
      <c r="D537" s="302">
        <f>+P97</f>
        <v>67.400000000000006</v>
      </c>
      <c r="E537" s="302">
        <f>+D537*(1+E538)*(1+E539)</f>
        <v>69.624200000000002</v>
      </c>
      <c r="F537" s="302">
        <f>+E537*(1+F538)*(1+F539)</f>
        <v>72.130671200000009</v>
      </c>
      <c r="G537" s="302">
        <f>+F537*(1+G538)*(1+G539)</f>
        <v>75.160159390400011</v>
      </c>
      <c r="H537" s="302">
        <f>+G537*(1+H538)*(1+H539)</f>
        <v>78.76784704113922</v>
      </c>
      <c r="I537" s="302">
        <f>+H537*(1+I538)*(1+I539)</f>
        <v>83.021310781360739</v>
      </c>
      <c r="J537" s="324"/>
    </row>
    <row r="538" spans="2:10" x14ac:dyDescent="0.2">
      <c r="B538" s="299" t="s">
        <v>318</v>
      </c>
      <c r="C538" s="306" t="s">
        <v>160</v>
      </c>
      <c r="D538" s="320"/>
      <c r="E538" s="321">
        <f>+$E$408</f>
        <v>3.3000000000000002E-2</v>
      </c>
      <c r="F538" s="321">
        <f>+$F$408</f>
        <v>3.5999999999999997E-2</v>
      </c>
      <c r="G538" s="321">
        <f>+$G$408</f>
        <v>4.2000000000000003E-2</v>
      </c>
      <c r="H538" s="321">
        <f>+$H$408</f>
        <v>4.8000000000000001E-2</v>
      </c>
      <c r="I538" s="321">
        <f>+$I$408</f>
        <v>5.3999999999999999E-2</v>
      </c>
      <c r="J538" s="324"/>
    </row>
    <row r="539" spans="2:10" x14ac:dyDescent="0.2">
      <c r="B539" s="299" t="s">
        <v>305</v>
      </c>
      <c r="C539" s="300"/>
      <c r="D539" s="320"/>
      <c r="E539" s="279">
        <v>0</v>
      </c>
      <c r="F539" s="279">
        <v>0</v>
      </c>
      <c r="G539" s="279">
        <v>0</v>
      </c>
      <c r="H539" s="279">
        <v>0</v>
      </c>
      <c r="I539" s="279">
        <v>0</v>
      </c>
      <c r="J539" s="324"/>
    </row>
    <row r="540" spans="2:10" ht="15" x14ac:dyDescent="0.25">
      <c r="B540" s="322" t="s">
        <v>317</v>
      </c>
      <c r="C540" s="306"/>
      <c r="D540" s="323">
        <f t="shared" ref="D540:I540" si="904">+D537*D532</f>
        <v>728178.81599999999</v>
      </c>
      <c r="E540" s="323">
        <f t="shared" si="904"/>
        <v>782227.88699999999</v>
      </c>
      <c r="F540" s="323">
        <f t="shared" si="904"/>
        <v>842774.76230080007</v>
      </c>
      <c r="G540" s="323">
        <f t="shared" si="904"/>
        <v>913271.09675275057</v>
      </c>
      <c r="H540" s="323">
        <f t="shared" si="904"/>
        <v>995389.28305887629</v>
      </c>
      <c r="I540" s="323">
        <f t="shared" si="904"/>
        <v>1091066.0662886428</v>
      </c>
      <c r="J540" s="324"/>
    </row>
    <row r="541" spans="2:10" x14ac:dyDescent="0.2">
      <c r="B541" s="299" t="s">
        <v>321</v>
      </c>
      <c r="C541" s="306" t="s">
        <v>45</v>
      </c>
      <c r="D541" s="302">
        <f>+P99</f>
        <v>0</v>
      </c>
      <c r="E541" s="302">
        <f>+D541*(1+E542)*(1+E543)</f>
        <v>0</v>
      </c>
      <c r="F541" s="302">
        <f>+E541*(1+F542)*(1+F543)</f>
        <v>0</v>
      </c>
      <c r="G541" s="302">
        <f>+F541*(1+G542)*(1+G543)</f>
        <v>0</v>
      </c>
      <c r="H541" s="302">
        <f>+G541*(1+H542)*(1+H543)</f>
        <v>0</v>
      </c>
      <c r="I541" s="302">
        <f>+H541*(1+I542)*(1+I543)</f>
        <v>0</v>
      </c>
    </row>
    <row r="542" spans="2:10" x14ac:dyDescent="0.2">
      <c r="B542" s="299" t="s">
        <v>318</v>
      </c>
      <c r="C542" s="306" t="s">
        <v>160</v>
      </c>
      <c r="D542" s="320"/>
      <c r="E542" s="321">
        <f>+$E$408</f>
        <v>3.3000000000000002E-2</v>
      </c>
      <c r="F542" s="321">
        <f>+$F$408</f>
        <v>3.5999999999999997E-2</v>
      </c>
      <c r="G542" s="321">
        <f>+$G$408</f>
        <v>4.2000000000000003E-2</v>
      </c>
      <c r="H542" s="321">
        <f>+$H$408</f>
        <v>4.8000000000000001E-2</v>
      </c>
      <c r="I542" s="321">
        <f>+$I$408</f>
        <v>5.3999999999999999E-2</v>
      </c>
    </row>
    <row r="543" spans="2:10" x14ac:dyDescent="0.2">
      <c r="B543" s="299" t="s">
        <v>305</v>
      </c>
      <c r="C543" s="300"/>
      <c r="D543" s="320"/>
      <c r="E543" s="279">
        <v>0</v>
      </c>
      <c r="F543" s="279">
        <v>0</v>
      </c>
      <c r="G543" s="279">
        <v>0</v>
      </c>
      <c r="H543" s="279">
        <v>0</v>
      </c>
      <c r="I543" s="279">
        <v>0</v>
      </c>
    </row>
    <row r="544" spans="2:10" ht="15" x14ac:dyDescent="0.25">
      <c r="B544" s="322" t="s">
        <v>317</v>
      </c>
      <c r="C544" s="306"/>
      <c r="D544" s="323">
        <f t="shared" ref="D544:I544" si="905">+D541*D532</f>
        <v>0</v>
      </c>
      <c r="E544" s="323">
        <f t="shared" si="905"/>
        <v>0</v>
      </c>
      <c r="F544" s="323">
        <f t="shared" si="905"/>
        <v>0</v>
      </c>
      <c r="G544" s="323">
        <f t="shared" si="905"/>
        <v>0</v>
      </c>
      <c r="H544" s="323">
        <f t="shared" si="905"/>
        <v>0</v>
      </c>
      <c r="I544" s="323">
        <f t="shared" si="905"/>
        <v>0</v>
      </c>
    </row>
    <row r="545" spans="2:10" x14ac:dyDescent="0.2">
      <c r="B545" s="316" t="str">
        <f>+Ingresos!B469</f>
        <v>Cebolla roja</v>
      </c>
      <c r="C545" s="317"/>
      <c r="D545" s="318"/>
      <c r="E545" s="318"/>
      <c r="F545" s="318"/>
      <c r="G545" s="318"/>
      <c r="H545" s="318"/>
      <c r="I545" s="318"/>
      <c r="J545" s="324"/>
    </row>
    <row r="546" spans="2:10" x14ac:dyDescent="0.2">
      <c r="B546" s="299" t="s">
        <v>159</v>
      </c>
      <c r="C546" s="319"/>
      <c r="D546" s="302">
        <f>+P102</f>
        <v>5531.7599999999984</v>
      </c>
      <c r="E546" s="302">
        <f>+Ingresos!D470</f>
        <v>5753</v>
      </c>
      <c r="F546" s="302">
        <f>+Ingresos!E470</f>
        <v>5983</v>
      </c>
      <c r="G546" s="302">
        <f>+Ingresos!F470</f>
        <v>6222</v>
      </c>
      <c r="H546" s="302">
        <f>+Ingresos!G470</f>
        <v>6470</v>
      </c>
      <c r="I546" s="302">
        <f>+Ingresos!H470</f>
        <v>6728</v>
      </c>
      <c r="J546" s="324"/>
    </row>
    <row r="547" spans="2:10" x14ac:dyDescent="0.2">
      <c r="B547" s="299" t="s">
        <v>319</v>
      </c>
      <c r="C547" s="306" t="s">
        <v>45</v>
      </c>
      <c r="D547" s="302">
        <f>+P103</f>
        <v>1467.1799999999998</v>
      </c>
      <c r="E547" s="302">
        <f>+D547*(1+E548)*(1+E549)</f>
        <v>1515.5969399999997</v>
      </c>
      <c r="F547" s="302">
        <f>+E547*(1+F548)*(1+F549)</f>
        <v>1570.1584298399998</v>
      </c>
      <c r="G547" s="302">
        <f>+F547*(1+G548)*(1+G549)</f>
        <v>1636.1050838932799</v>
      </c>
      <c r="H547" s="302">
        <f>+G547*(1+H548)*(1+H549)</f>
        <v>1714.6381279201573</v>
      </c>
      <c r="I547" s="302">
        <f>+H547*(1+I548)*(1+I549)</f>
        <v>1807.2285868278459</v>
      </c>
      <c r="J547" s="324"/>
    </row>
    <row r="548" spans="2:10" x14ac:dyDescent="0.2">
      <c r="B548" s="299" t="s">
        <v>318</v>
      </c>
      <c r="C548" s="306" t="s">
        <v>160</v>
      </c>
      <c r="D548" s="320"/>
      <c r="E548" s="321">
        <f>E520</f>
        <v>3.3000000000000002E-2</v>
      </c>
      <c r="F548" s="321">
        <f>F520</f>
        <v>3.5999999999999997E-2</v>
      </c>
      <c r="G548" s="321">
        <f>G520</f>
        <v>4.2000000000000003E-2</v>
      </c>
      <c r="H548" s="321">
        <f>H520</f>
        <v>4.8000000000000001E-2</v>
      </c>
      <c r="I548" s="321">
        <f>+$I$408</f>
        <v>5.3999999999999999E-2</v>
      </c>
      <c r="J548" s="324"/>
    </row>
    <row r="549" spans="2:10" x14ac:dyDescent="0.2">
      <c r="B549" s="299" t="s">
        <v>305</v>
      </c>
      <c r="C549" s="300"/>
      <c r="D549" s="320"/>
      <c r="E549" s="279">
        <v>0</v>
      </c>
      <c r="F549" s="279">
        <v>0</v>
      </c>
      <c r="G549" s="279">
        <v>0</v>
      </c>
      <c r="H549" s="279">
        <v>0</v>
      </c>
      <c r="I549" s="279">
        <v>0</v>
      </c>
      <c r="J549" s="324"/>
    </row>
    <row r="550" spans="2:10" ht="15" x14ac:dyDescent="0.25">
      <c r="B550" s="322" t="s">
        <v>317</v>
      </c>
      <c r="C550" s="306"/>
      <c r="D550" s="304">
        <f t="shared" ref="D550:I550" si="906">D546*D547</f>
        <v>8116087.6367999967</v>
      </c>
      <c r="E550" s="304">
        <f t="shared" si="906"/>
        <v>8719229.1958199982</v>
      </c>
      <c r="F550" s="304">
        <f t="shared" si="906"/>
        <v>9394257.8857327197</v>
      </c>
      <c r="G550" s="304">
        <f t="shared" si="906"/>
        <v>10179845.831983987</v>
      </c>
      <c r="H550" s="304">
        <f t="shared" si="906"/>
        <v>11093708.687643418</v>
      </c>
      <c r="I550" s="304">
        <f t="shared" si="906"/>
        <v>12159033.932177747</v>
      </c>
      <c r="J550" s="324"/>
    </row>
    <row r="551" spans="2:10" x14ac:dyDescent="0.2">
      <c r="B551" s="299" t="s">
        <v>320</v>
      </c>
      <c r="C551" s="306" t="s">
        <v>45</v>
      </c>
      <c r="D551" s="302">
        <f>+P105</f>
        <v>169.96</v>
      </c>
      <c r="E551" s="302">
        <f>+D551*(1+E552)*(1+E553)</f>
        <v>175.56868</v>
      </c>
      <c r="F551" s="302">
        <f>+E551*(1+F552)*(1+F553)</f>
        <v>181.88915248000001</v>
      </c>
      <c r="G551" s="302">
        <f>+F551*(1+G552)*(1+G553)</f>
        <v>189.52849688416001</v>
      </c>
      <c r="H551" s="302">
        <f>+G551*(1+H552)*(1+H553)</f>
        <v>198.6258647345997</v>
      </c>
      <c r="I551" s="302">
        <f>+H551*(1+I552)*(1+I553)</f>
        <v>209.35166143026811</v>
      </c>
      <c r="J551" s="324"/>
    </row>
    <row r="552" spans="2:10" x14ac:dyDescent="0.2">
      <c r="B552" s="299" t="s">
        <v>318</v>
      </c>
      <c r="C552" s="306" t="s">
        <v>160</v>
      </c>
      <c r="D552" s="320"/>
      <c r="E552" s="321">
        <f>+$E$408</f>
        <v>3.3000000000000002E-2</v>
      </c>
      <c r="F552" s="321">
        <f>+$F$408</f>
        <v>3.5999999999999997E-2</v>
      </c>
      <c r="G552" s="321">
        <f>+$G$408</f>
        <v>4.2000000000000003E-2</v>
      </c>
      <c r="H552" s="321">
        <f>+$H$408</f>
        <v>4.8000000000000001E-2</v>
      </c>
      <c r="I552" s="321">
        <f>+$I$408</f>
        <v>5.3999999999999999E-2</v>
      </c>
      <c r="J552" s="324"/>
    </row>
    <row r="553" spans="2:10" x14ac:dyDescent="0.2">
      <c r="B553" s="299" t="s">
        <v>305</v>
      </c>
      <c r="C553" s="300"/>
      <c r="D553" s="320"/>
      <c r="E553" s="279">
        <v>0</v>
      </c>
      <c r="F553" s="279">
        <v>0</v>
      </c>
      <c r="G553" s="279">
        <v>0</v>
      </c>
      <c r="H553" s="279">
        <v>0</v>
      </c>
      <c r="I553" s="279">
        <v>0</v>
      </c>
      <c r="J553" s="324"/>
    </row>
    <row r="554" spans="2:10" ht="15" x14ac:dyDescent="0.25">
      <c r="B554" s="322" t="s">
        <v>317</v>
      </c>
      <c r="C554" s="306"/>
      <c r="D554" s="323">
        <f t="shared" ref="D554:I554" si="907">+D551*D546</f>
        <v>940177.9295999998</v>
      </c>
      <c r="E554" s="323">
        <f t="shared" si="907"/>
        <v>1010046.61604</v>
      </c>
      <c r="F554" s="323">
        <f t="shared" si="907"/>
        <v>1088242.79928784</v>
      </c>
      <c r="G554" s="323">
        <f t="shared" si="907"/>
        <v>1179246.3076132436</v>
      </c>
      <c r="H554" s="323">
        <f t="shared" si="907"/>
        <v>1285109.3448328602</v>
      </c>
      <c r="I554" s="323">
        <f t="shared" si="907"/>
        <v>1408517.9781028437</v>
      </c>
      <c r="J554" s="324"/>
    </row>
    <row r="555" spans="2:10" x14ac:dyDescent="0.2">
      <c r="B555" s="299" t="s">
        <v>321</v>
      </c>
      <c r="C555" s="306" t="s">
        <v>45</v>
      </c>
      <c r="D555" s="302">
        <f>+P107</f>
        <v>0</v>
      </c>
      <c r="E555" s="302">
        <f>+D555*(1+E556)*(1+E557)</f>
        <v>0</v>
      </c>
      <c r="F555" s="302">
        <f>+E555*(1+F556)*(1+F557)</f>
        <v>0</v>
      </c>
      <c r="G555" s="302">
        <f>+F555*(1+G556)*(1+G557)</f>
        <v>0</v>
      </c>
      <c r="H555" s="302">
        <f>+G555*(1+H556)*(1+H557)</f>
        <v>0</v>
      </c>
      <c r="I555" s="302">
        <f>+H555*(1+I556)*(1+I557)</f>
        <v>0</v>
      </c>
    </row>
    <row r="556" spans="2:10" x14ac:dyDescent="0.2">
      <c r="B556" s="299" t="s">
        <v>318</v>
      </c>
      <c r="C556" s="306" t="s">
        <v>160</v>
      </c>
      <c r="D556" s="320"/>
      <c r="E556" s="321">
        <f>+$E$408</f>
        <v>3.3000000000000002E-2</v>
      </c>
      <c r="F556" s="321">
        <f>+$F$408</f>
        <v>3.5999999999999997E-2</v>
      </c>
      <c r="G556" s="321">
        <f>+$G$408</f>
        <v>4.2000000000000003E-2</v>
      </c>
      <c r="H556" s="321">
        <f>+$H$408</f>
        <v>4.8000000000000001E-2</v>
      </c>
      <c r="I556" s="321">
        <f>+$I$408</f>
        <v>5.3999999999999999E-2</v>
      </c>
    </row>
    <row r="557" spans="2:10" x14ac:dyDescent="0.2">
      <c r="B557" s="299" t="s">
        <v>305</v>
      </c>
      <c r="C557" s="300"/>
      <c r="D557" s="320"/>
      <c r="E557" s="279">
        <v>0</v>
      </c>
      <c r="F557" s="279">
        <v>0</v>
      </c>
      <c r="G557" s="279">
        <v>0</v>
      </c>
      <c r="H557" s="279">
        <v>0</v>
      </c>
      <c r="I557" s="279">
        <v>0</v>
      </c>
    </row>
    <row r="558" spans="2:10" ht="15" x14ac:dyDescent="0.25">
      <c r="B558" s="322" t="s">
        <v>317</v>
      </c>
      <c r="C558" s="306"/>
      <c r="D558" s="323">
        <f t="shared" ref="D558:I558" si="908">+D555*D546</f>
        <v>0</v>
      </c>
      <c r="E558" s="323">
        <f t="shared" si="908"/>
        <v>0</v>
      </c>
      <c r="F558" s="323">
        <f t="shared" si="908"/>
        <v>0</v>
      </c>
      <c r="G558" s="323">
        <f t="shared" si="908"/>
        <v>0</v>
      </c>
      <c r="H558" s="323">
        <f t="shared" si="908"/>
        <v>0</v>
      </c>
      <c r="I558" s="323">
        <f t="shared" si="908"/>
        <v>0</v>
      </c>
    </row>
    <row r="559" spans="2:10" x14ac:dyDescent="0.2">
      <c r="B559" s="316" t="str">
        <f>+Ingresos!B477</f>
        <v>Cilantro</v>
      </c>
      <c r="C559" s="317"/>
      <c r="D559" s="318"/>
      <c r="E559" s="318"/>
      <c r="F559" s="318"/>
      <c r="G559" s="318"/>
      <c r="H559" s="318"/>
      <c r="I559" s="318"/>
      <c r="J559" s="324"/>
    </row>
    <row r="560" spans="2:10" x14ac:dyDescent="0.2">
      <c r="B560" s="299" t="s">
        <v>159</v>
      </c>
      <c r="C560" s="319"/>
      <c r="D560" s="302">
        <f>+P110</f>
        <v>25611.480000000007</v>
      </c>
      <c r="E560" s="302">
        <f>+Ingresos!D478</f>
        <v>26635</v>
      </c>
      <c r="F560" s="302">
        <f>+Ingresos!E478</f>
        <v>27700</v>
      </c>
      <c r="G560" s="302">
        <f>+Ingresos!F478</f>
        <v>28808</v>
      </c>
      <c r="H560" s="302">
        <f>+Ingresos!G478</f>
        <v>29960</v>
      </c>
      <c r="I560" s="302">
        <f>+Ingresos!H478</f>
        <v>31158</v>
      </c>
      <c r="J560" s="324"/>
    </row>
    <row r="561" spans="2:10" x14ac:dyDescent="0.2">
      <c r="B561" s="299" t="s">
        <v>319</v>
      </c>
      <c r="C561" s="306" t="s">
        <v>45</v>
      </c>
      <c r="D561" s="302">
        <f>+P111</f>
        <v>3334.5</v>
      </c>
      <c r="E561" s="302">
        <f>+D561*(1+E562)*(1+E563)</f>
        <v>3444.5384999999997</v>
      </c>
      <c r="F561" s="302">
        <f>+E561*(1+F562)*(1+F563)</f>
        <v>3568.541886</v>
      </c>
      <c r="G561" s="302">
        <f>+F561*(1+G562)*(1+G563)</f>
        <v>3718.4206452120002</v>
      </c>
      <c r="H561" s="302">
        <f>+G561*(1+H562)*(1+H563)</f>
        <v>3896.9048361821765</v>
      </c>
      <c r="I561" s="302">
        <f>+H561*(1+I562)*(1+I563)</f>
        <v>4107.3376973360146</v>
      </c>
      <c r="J561" s="324"/>
    </row>
    <row r="562" spans="2:10" x14ac:dyDescent="0.2">
      <c r="B562" s="299" t="s">
        <v>318</v>
      </c>
      <c r="C562" s="306" t="s">
        <v>160</v>
      </c>
      <c r="D562" s="320"/>
      <c r="E562" s="321">
        <f>E548</f>
        <v>3.3000000000000002E-2</v>
      </c>
      <c r="F562" s="321">
        <f>F534</f>
        <v>3.5999999999999997E-2</v>
      </c>
      <c r="G562" s="321">
        <f>G534</f>
        <v>4.2000000000000003E-2</v>
      </c>
      <c r="H562" s="321">
        <f>H534</f>
        <v>4.8000000000000001E-2</v>
      </c>
      <c r="I562" s="321">
        <f>+$I$408</f>
        <v>5.3999999999999999E-2</v>
      </c>
      <c r="J562" s="324"/>
    </row>
    <row r="563" spans="2:10" x14ac:dyDescent="0.2">
      <c r="B563" s="299" t="s">
        <v>305</v>
      </c>
      <c r="C563" s="300"/>
      <c r="D563" s="320"/>
      <c r="E563" s="279">
        <v>0</v>
      </c>
      <c r="F563" s="279">
        <v>0</v>
      </c>
      <c r="G563" s="279">
        <v>0</v>
      </c>
      <c r="H563" s="279">
        <v>0</v>
      </c>
      <c r="I563" s="279">
        <v>0</v>
      </c>
      <c r="J563" s="324"/>
    </row>
    <row r="564" spans="2:10" ht="15" x14ac:dyDescent="0.25">
      <c r="B564" s="322" t="s">
        <v>317</v>
      </c>
      <c r="C564" s="306"/>
      <c r="D564" s="304">
        <f t="shared" ref="D564:I564" si="909">D560*D561</f>
        <v>85401480.060000017</v>
      </c>
      <c r="E564" s="304">
        <f t="shared" si="909"/>
        <v>91745282.94749999</v>
      </c>
      <c r="F564" s="304">
        <f t="shared" si="909"/>
        <v>98848610.242200002</v>
      </c>
      <c r="G564" s="304">
        <f t="shared" si="909"/>
        <v>107120261.94726729</v>
      </c>
      <c r="H564" s="304">
        <f t="shared" si="909"/>
        <v>116751268.89201801</v>
      </c>
      <c r="I564" s="304">
        <f t="shared" si="909"/>
        <v>127976427.97359554</v>
      </c>
      <c r="J564" s="324"/>
    </row>
    <row r="565" spans="2:10" x14ac:dyDescent="0.2">
      <c r="B565" s="299" t="s">
        <v>320</v>
      </c>
      <c r="C565" s="306" t="s">
        <v>45</v>
      </c>
      <c r="D565" s="302">
        <f>+P113</f>
        <v>163</v>
      </c>
      <c r="E565" s="302">
        <f>+D565*(1+E566)*(1+E567)</f>
        <v>168.37899999999999</v>
      </c>
      <c r="F565" s="302">
        <f>+E565*(1+F566)*(1+F567)</f>
        <v>174.44064399999999</v>
      </c>
      <c r="G565" s="302">
        <f>+F565*(1+G566)*(1+G567)</f>
        <v>181.76715104799999</v>
      </c>
      <c r="H565" s="302">
        <f>+G565*(1+H566)*(1+H567)</f>
        <v>190.491974298304</v>
      </c>
      <c r="I565" s="302">
        <f>+H565*(1+I566)*(1+I567)</f>
        <v>200.77854091041243</v>
      </c>
      <c r="J565" s="324"/>
    </row>
    <row r="566" spans="2:10" x14ac:dyDescent="0.2">
      <c r="B566" s="299" t="s">
        <v>318</v>
      </c>
      <c r="C566" s="306" t="s">
        <v>160</v>
      </c>
      <c r="D566" s="320"/>
      <c r="E566" s="321">
        <f>+$E$408</f>
        <v>3.3000000000000002E-2</v>
      </c>
      <c r="F566" s="321">
        <f>+$F$408</f>
        <v>3.5999999999999997E-2</v>
      </c>
      <c r="G566" s="321">
        <f>+$G$408</f>
        <v>4.2000000000000003E-2</v>
      </c>
      <c r="H566" s="321">
        <f>+$H$408</f>
        <v>4.8000000000000001E-2</v>
      </c>
      <c r="I566" s="321">
        <f>+$I$408</f>
        <v>5.3999999999999999E-2</v>
      </c>
      <c r="J566" s="324"/>
    </row>
    <row r="567" spans="2:10" x14ac:dyDescent="0.2">
      <c r="B567" s="299" t="s">
        <v>305</v>
      </c>
      <c r="C567" s="300"/>
      <c r="D567" s="320"/>
      <c r="E567" s="279">
        <v>0</v>
      </c>
      <c r="F567" s="279">
        <v>0</v>
      </c>
      <c r="G567" s="279">
        <v>0</v>
      </c>
      <c r="H567" s="279">
        <v>0</v>
      </c>
      <c r="I567" s="279">
        <v>0</v>
      </c>
      <c r="J567" s="324"/>
    </row>
    <row r="568" spans="2:10" ht="15" x14ac:dyDescent="0.25">
      <c r="B568" s="322" t="s">
        <v>317</v>
      </c>
      <c r="C568" s="306"/>
      <c r="D568" s="323">
        <f t="shared" ref="D568:I568" si="910">+D565*D560</f>
        <v>4174671.2400000012</v>
      </c>
      <c r="E568" s="323">
        <f t="shared" si="910"/>
        <v>4484774.665</v>
      </c>
      <c r="F568" s="323">
        <f t="shared" si="910"/>
        <v>4832005.8388</v>
      </c>
      <c r="G568" s="323">
        <f t="shared" si="910"/>
        <v>5236348.0873907832</v>
      </c>
      <c r="H568" s="323">
        <f t="shared" si="910"/>
        <v>5707139.549977188</v>
      </c>
      <c r="I568" s="323">
        <f t="shared" si="910"/>
        <v>6255857.7776866304</v>
      </c>
      <c r="J568" s="324"/>
    </row>
    <row r="569" spans="2:10" x14ac:dyDescent="0.2">
      <c r="B569" s="299" t="s">
        <v>321</v>
      </c>
      <c r="C569" s="306" t="s">
        <v>45</v>
      </c>
      <c r="D569" s="302">
        <f>+P115</f>
        <v>0</v>
      </c>
      <c r="E569" s="302">
        <f>+D569*(1+E570)*(1+E571)</f>
        <v>0</v>
      </c>
      <c r="F569" s="302">
        <f>+E569*(1+F570)*(1+F571)</f>
        <v>0</v>
      </c>
      <c r="G569" s="302">
        <f>+F569*(1+G570)*(1+G571)</f>
        <v>0</v>
      </c>
      <c r="H569" s="302">
        <f>+G569*(1+H570)*(1+H571)</f>
        <v>0</v>
      </c>
      <c r="I569" s="302">
        <f>+H569*(1+I570)*(1+I571)</f>
        <v>0</v>
      </c>
    </row>
    <row r="570" spans="2:10" x14ac:dyDescent="0.2">
      <c r="B570" s="299" t="s">
        <v>318</v>
      </c>
      <c r="C570" s="306" t="s">
        <v>160</v>
      </c>
      <c r="D570" s="320"/>
      <c r="E570" s="321">
        <f>+$E$408</f>
        <v>3.3000000000000002E-2</v>
      </c>
      <c r="F570" s="321">
        <f>+$F$408</f>
        <v>3.5999999999999997E-2</v>
      </c>
      <c r="G570" s="321">
        <f>+$G$408</f>
        <v>4.2000000000000003E-2</v>
      </c>
      <c r="H570" s="321">
        <f>+$H$408</f>
        <v>4.8000000000000001E-2</v>
      </c>
      <c r="I570" s="321">
        <f>+$I$408</f>
        <v>5.3999999999999999E-2</v>
      </c>
    </row>
    <row r="571" spans="2:10" x14ac:dyDescent="0.2">
      <c r="B571" s="299" t="s">
        <v>305</v>
      </c>
      <c r="C571" s="300"/>
      <c r="D571" s="320"/>
      <c r="E571" s="279">
        <v>0</v>
      </c>
      <c r="F571" s="279">
        <v>0</v>
      </c>
      <c r="G571" s="279">
        <v>0</v>
      </c>
      <c r="H571" s="279">
        <v>0</v>
      </c>
      <c r="I571" s="279">
        <v>0</v>
      </c>
    </row>
    <row r="572" spans="2:10" ht="15" x14ac:dyDescent="0.25">
      <c r="B572" s="322" t="s">
        <v>317</v>
      </c>
      <c r="C572" s="306"/>
      <c r="D572" s="323">
        <f t="shared" ref="D572:I572" si="911">+D569*D560</f>
        <v>0</v>
      </c>
      <c r="E572" s="323">
        <f t="shared" si="911"/>
        <v>0</v>
      </c>
      <c r="F572" s="323">
        <f t="shared" si="911"/>
        <v>0</v>
      </c>
      <c r="G572" s="323">
        <f t="shared" si="911"/>
        <v>0</v>
      </c>
      <c r="H572" s="323">
        <f t="shared" si="911"/>
        <v>0</v>
      </c>
      <c r="I572" s="323">
        <f t="shared" si="911"/>
        <v>0</v>
      </c>
    </row>
    <row r="573" spans="2:10" x14ac:dyDescent="0.2">
      <c r="B573" s="316" t="str">
        <f>+Ingresos!B485</f>
        <v>Frijol verde</v>
      </c>
      <c r="C573" s="317"/>
      <c r="D573" s="318"/>
      <c r="E573" s="318"/>
      <c r="F573" s="318"/>
      <c r="G573" s="318"/>
      <c r="H573" s="318"/>
      <c r="I573" s="318"/>
      <c r="J573" s="324"/>
    </row>
    <row r="574" spans="2:10" x14ac:dyDescent="0.2">
      <c r="B574" s="299" t="s">
        <v>159</v>
      </c>
      <c r="C574" s="319"/>
      <c r="D574" s="302">
        <f>+P118</f>
        <v>22719.359999999997</v>
      </c>
      <c r="E574" s="302">
        <f>+Ingresos!D486</f>
        <v>23628</v>
      </c>
      <c r="F574" s="302">
        <f>+Ingresos!E486</f>
        <v>24573</v>
      </c>
      <c r="G574" s="302">
        <f>+Ingresos!F486</f>
        <v>25555</v>
      </c>
      <c r="H574" s="302">
        <f>+Ingresos!G486</f>
        <v>26577</v>
      </c>
      <c r="I574" s="302">
        <f>+Ingresos!H486</f>
        <v>27640</v>
      </c>
      <c r="J574" s="324"/>
    </row>
    <row r="575" spans="2:10" x14ac:dyDescent="0.2">
      <c r="B575" s="299" t="s">
        <v>319</v>
      </c>
      <c r="C575" s="306" t="s">
        <v>45</v>
      </c>
      <c r="D575" s="302">
        <f>+P119</f>
        <v>1889.329</v>
      </c>
      <c r="E575" s="302">
        <f>+D575*(1+E576)*(1+E577)</f>
        <v>1951.6768569999997</v>
      </c>
      <c r="F575" s="302">
        <f>+E575*(1+F576)*(1+F577)</f>
        <v>2021.9372238519998</v>
      </c>
      <c r="G575" s="302">
        <f>+F575*(1+G576)*(1+G577)</f>
        <v>2106.8585872537838</v>
      </c>
      <c r="H575" s="302">
        <f>+G575*(1+H576)*(1+H577)</f>
        <v>2207.9877994419653</v>
      </c>
      <c r="I575" s="302">
        <f>+H575*(1+I576)*(1+I577)</f>
        <v>2327.2191406118313</v>
      </c>
      <c r="J575" s="324"/>
    </row>
    <row r="576" spans="2:10" x14ac:dyDescent="0.2">
      <c r="B576" s="299" t="s">
        <v>318</v>
      </c>
      <c r="C576" s="306" t="s">
        <v>160</v>
      </c>
      <c r="D576" s="320"/>
      <c r="E576" s="321">
        <f>E562</f>
        <v>3.3000000000000002E-2</v>
      </c>
      <c r="F576" s="321">
        <f>F548</f>
        <v>3.5999999999999997E-2</v>
      </c>
      <c r="G576" s="321">
        <f>G548</f>
        <v>4.2000000000000003E-2</v>
      </c>
      <c r="H576" s="321">
        <f>H548</f>
        <v>4.8000000000000001E-2</v>
      </c>
      <c r="I576" s="321">
        <f>+$I$408</f>
        <v>5.3999999999999999E-2</v>
      </c>
      <c r="J576" s="324"/>
    </row>
    <row r="577" spans="2:10" x14ac:dyDescent="0.2">
      <c r="B577" s="299" t="s">
        <v>305</v>
      </c>
      <c r="C577" s="300"/>
      <c r="D577" s="320"/>
      <c r="E577" s="279">
        <v>0</v>
      </c>
      <c r="F577" s="279">
        <v>0</v>
      </c>
      <c r="G577" s="279">
        <v>0</v>
      </c>
      <c r="H577" s="279">
        <v>0</v>
      </c>
      <c r="I577" s="279">
        <v>0</v>
      </c>
      <c r="J577" s="324"/>
    </row>
    <row r="578" spans="2:10" ht="15" x14ac:dyDescent="0.25">
      <c r="B578" s="322" t="s">
        <v>317</v>
      </c>
      <c r="C578" s="306"/>
      <c r="D578" s="304">
        <f t="shared" ref="D578:I578" si="912">D574*D575</f>
        <v>42924345.709439993</v>
      </c>
      <c r="E578" s="304">
        <f t="shared" si="912"/>
        <v>46114220.77719599</v>
      </c>
      <c r="F578" s="304">
        <f t="shared" si="912"/>
        <v>49685063.401715189</v>
      </c>
      <c r="G578" s="304">
        <f t="shared" si="912"/>
        <v>53840771.197270446</v>
      </c>
      <c r="H578" s="304">
        <f t="shared" si="912"/>
        <v>58681691.745769113</v>
      </c>
      <c r="I578" s="304">
        <f t="shared" si="912"/>
        <v>64324337.046511017</v>
      </c>
      <c r="J578" s="324"/>
    </row>
    <row r="579" spans="2:10" x14ac:dyDescent="0.2">
      <c r="B579" s="299" t="s">
        <v>320</v>
      </c>
      <c r="C579" s="306" t="s">
        <v>45</v>
      </c>
      <c r="D579" s="302">
        <f>+P121</f>
        <v>242.13</v>
      </c>
      <c r="E579" s="302">
        <f>+D579*(1+E580)*(1+E581)</f>
        <v>250.12028999999998</v>
      </c>
      <c r="F579" s="302">
        <f>+E579*(1+F580)*(1+F581)</f>
        <v>259.12462044</v>
      </c>
      <c r="G579" s="302">
        <f>+F579*(1+G580)*(1+G581)</f>
        <v>270.00785449848001</v>
      </c>
      <c r="H579" s="302">
        <f>+G579*(1+H580)*(1+H581)</f>
        <v>282.96823151440708</v>
      </c>
      <c r="I579" s="302">
        <f>+H579*(1+I580)*(1+I581)</f>
        <v>298.24851601618508</v>
      </c>
      <c r="J579" s="324"/>
    </row>
    <row r="580" spans="2:10" x14ac:dyDescent="0.2">
      <c r="B580" s="299" t="s">
        <v>318</v>
      </c>
      <c r="C580" s="306" t="s">
        <v>160</v>
      </c>
      <c r="D580" s="320"/>
      <c r="E580" s="321">
        <f>+$E$408</f>
        <v>3.3000000000000002E-2</v>
      </c>
      <c r="F580" s="321">
        <f>+$F$408</f>
        <v>3.5999999999999997E-2</v>
      </c>
      <c r="G580" s="321">
        <f>+$G$408</f>
        <v>4.2000000000000003E-2</v>
      </c>
      <c r="H580" s="321">
        <f>+$H$408</f>
        <v>4.8000000000000001E-2</v>
      </c>
      <c r="I580" s="321">
        <f>+$I$408</f>
        <v>5.3999999999999999E-2</v>
      </c>
      <c r="J580" s="324"/>
    </row>
    <row r="581" spans="2:10" x14ac:dyDescent="0.2">
      <c r="B581" s="299" t="s">
        <v>305</v>
      </c>
      <c r="C581" s="300"/>
      <c r="D581" s="320"/>
      <c r="E581" s="279">
        <v>0</v>
      </c>
      <c r="F581" s="279">
        <v>0</v>
      </c>
      <c r="G581" s="279">
        <v>0</v>
      </c>
      <c r="H581" s="279">
        <v>0</v>
      </c>
      <c r="I581" s="279">
        <v>0</v>
      </c>
      <c r="J581" s="324"/>
    </row>
    <row r="582" spans="2:10" ht="15" x14ac:dyDescent="0.25">
      <c r="B582" s="322" t="s">
        <v>317</v>
      </c>
      <c r="C582" s="306"/>
      <c r="D582" s="323">
        <f t="shared" ref="D582:I582" si="913">+D579*D574</f>
        <v>5501038.6367999995</v>
      </c>
      <c r="E582" s="323">
        <f t="shared" si="913"/>
        <v>5909842.2121199993</v>
      </c>
      <c r="F582" s="323">
        <f t="shared" si="913"/>
        <v>6367469.2980721202</v>
      </c>
      <c r="G582" s="323">
        <f t="shared" si="913"/>
        <v>6900050.7217086572</v>
      </c>
      <c r="H582" s="323">
        <f t="shared" si="913"/>
        <v>7520446.6889583971</v>
      </c>
      <c r="I582" s="323">
        <f t="shared" si="913"/>
        <v>8243588.982687356</v>
      </c>
      <c r="J582" s="324"/>
    </row>
    <row r="583" spans="2:10" x14ac:dyDescent="0.2">
      <c r="B583" s="299" t="s">
        <v>321</v>
      </c>
      <c r="C583" s="306" t="s">
        <v>45</v>
      </c>
      <c r="D583" s="302">
        <f>+P123</f>
        <v>0</v>
      </c>
      <c r="E583" s="302">
        <f>+D583*(1+E584)*(1+E585)</f>
        <v>0</v>
      </c>
      <c r="F583" s="302">
        <f>+E583*(1+F584)*(1+F585)</f>
        <v>0</v>
      </c>
      <c r="G583" s="302">
        <f>+F583*(1+G584)*(1+G585)</f>
        <v>0</v>
      </c>
      <c r="H583" s="302">
        <f>+G583*(1+H584)*(1+H585)</f>
        <v>0</v>
      </c>
      <c r="I583" s="302">
        <f>+H583*(1+I584)*(1+I585)</f>
        <v>0</v>
      </c>
    </row>
    <row r="584" spans="2:10" x14ac:dyDescent="0.2">
      <c r="B584" s="299" t="s">
        <v>318</v>
      </c>
      <c r="C584" s="306" t="s">
        <v>160</v>
      </c>
      <c r="D584" s="320"/>
      <c r="E584" s="321">
        <f>+$E$408</f>
        <v>3.3000000000000002E-2</v>
      </c>
      <c r="F584" s="321">
        <f>+$F$408</f>
        <v>3.5999999999999997E-2</v>
      </c>
      <c r="G584" s="321">
        <f>+$G$408</f>
        <v>4.2000000000000003E-2</v>
      </c>
      <c r="H584" s="321">
        <f>+$H$408</f>
        <v>4.8000000000000001E-2</v>
      </c>
      <c r="I584" s="321">
        <f>+$I$408</f>
        <v>5.3999999999999999E-2</v>
      </c>
    </row>
    <row r="585" spans="2:10" x14ac:dyDescent="0.2">
      <c r="B585" s="299" t="s">
        <v>305</v>
      </c>
      <c r="C585" s="300"/>
      <c r="D585" s="320"/>
      <c r="E585" s="279">
        <v>0</v>
      </c>
      <c r="F585" s="279">
        <v>0</v>
      </c>
      <c r="G585" s="279">
        <v>0</v>
      </c>
      <c r="H585" s="279">
        <v>0</v>
      </c>
      <c r="I585" s="279">
        <v>0</v>
      </c>
    </row>
    <row r="586" spans="2:10" ht="15" x14ac:dyDescent="0.25">
      <c r="B586" s="322" t="s">
        <v>317</v>
      </c>
      <c r="C586" s="306"/>
      <c r="D586" s="323">
        <f t="shared" ref="D586:I586" si="914">+D583*D574</f>
        <v>0</v>
      </c>
      <c r="E586" s="323">
        <f t="shared" si="914"/>
        <v>0</v>
      </c>
      <c r="F586" s="323">
        <f t="shared" si="914"/>
        <v>0</v>
      </c>
      <c r="G586" s="323">
        <f t="shared" si="914"/>
        <v>0</v>
      </c>
      <c r="H586" s="323">
        <f t="shared" si="914"/>
        <v>0</v>
      </c>
      <c r="I586" s="323">
        <f t="shared" si="914"/>
        <v>0</v>
      </c>
    </row>
    <row r="587" spans="2:10" x14ac:dyDescent="0.2">
      <c r="B587" s="316" t="str">
        <f>+Ingresos!B493</f>
        <v>Habichuela</v>
      </c>
      <c r="C587" s="317"/>
      <c r="D587" s="318"/>
      <c r="E587" s="318"/>
      <c r="F587" s="318"/>
      <c r="G587" s="318"/>
      <c r="H587" s="318"/>
      <c r="I587" s="318"/>
      <c r="J587" s="324"/>
    </row>
    <row r="588" spans="2:10" x14ac:dyDescent="0.2">
      <c r="B588" s="299" t="s">
        <v>159</v>
      </c>
      <c r="C588" s="319"/>
      <c r="D588" s="302">
        <f>+P126</f>
        <v>16865.280000000002</v>
      </c>
      <c r="E588" s="302">
        <f>+Ingresos!D494</f>
        <v>17539</v>
      </c>
      <c r="F588" s="302">
        <f>+Ingresos!E494</f>
        <v>18240</v>
      </c>
      <c r="G588" s="302">
        <f>+Ingresos!F494</f>
        <v>18969</v>
      </c>
      <c r="H588" s="302">
        <f>+Ingresos!G494</f>
        <v>19727</v>
      </c>
      <c r="I588" s="302">
        <f>+Ingresos!H494</f>
        <v>20516</v>
      </c>
      <c r="J588" s="324"/>
    </row>
    <row r="589" spans="2:10" x14ac:dyDescent="0.2">
      <c r="B589" s="299" t="s">
        <v>319</v>
      </c>
      <c r="C589" s="306" t="s">
        <v>45</v>
      </c>
      <c r="D589" s="302">
        <f>+P127</f>
        <v>1089.049</v>
      </c>
      <c r="E589" s="302">
        <f>+D589*(1+E590)*(1+E591)</f>
        <v>1124.987617</v>
      </c>
      <c r="F589" s="302">
        <f>+E589*(1+F590)*(1+F591)</f>
        <v>1165.487171212</v>
      </c>
      <c r="G589" s="302">
        <f>+F589*(1+G590)*(1+G591)</f>
        <v>1214.437632402904</v>
      </c>
      <c r="H589" s="302">
        <f>+G589*(1+H590)*(1+H591)</f>
        <v>1272.7306387582435</v>
      </c>
      <c r="I589" s="302">
        <f>+H589*(1+I590)*(1+I591)</f>
        <v>1341.4580932511888</v>
      </c>
      <c r="J589" s="324"/>
    </row>
    <row r="590" spans="2:10" x14ac:dyDescent="0.2">
      <c r="B590" s="299" t="s">
        <v>318</v>
      </c>
      <c r="C590" s="306" t="s">
        <v>160</v>
      </c>
      <c r="D590" s="320"/>
      <c r="E590" s="321">
        <f>E576</f>
        <v>3.3000000000000002E-2</v>
      </c>
      <c r="F590" s="321">
        <f>F562</f>
        <v>3.5999999999999997E-2</v>
      </c>
      <c r="G590" s="321">
        <f>G562</f>
        <v>4.2000000000000003E-2</v>
      </c>
      <c r="H590" s="321">
        <f>H562</f>
        <v>4.8000000000000001E-2</v>
      </c>
      <c r="I590" s="321">
        <f>+$I$408</f>
        <v>5.3999999999999999E-2</v>
      </c>
      <c r="J590" s="324"/>
    </row>
    <row r="591" spans="2:10" x14ac:dyDescent="0.2">
      <c r="B591" s="299" t="s">
        <v>305</v>
      </c>
      <c r="C591" s="300"/>
      <c r="D591" s="320"/>
      <c r="E591" s="279">
        <v>0</v>
      </c>
      <c r="F591" s="279">
        <v>0</v>
      </c>
      <c r="G591" s="279">
        <v>0</v>
      </c>
      <c r="H591" s="279">
        <v>0</v>
      </c>
      <c r="I591" s="279">
        <v>0</v>
      </c>
      <c r="J591" s="324"/>
    </row>
    <row r="592" spans="2:10" ht="15" x14ac:dyDescent="0.25">
      <c r="B592" s="322" t="s">
        <v>317</v>
      </c>
      <c r="C592" s="306"/>
      <c r="D592" s="304">
        <f t="shared" ref="D592:I592" si="915">D588*D589</f>
        <v>18367116.318720002</v>
      </c>
      <c r="E592" s="304">
        <f t="shared" si="915"/>
        <v>19731157.814562999</v>
      </c>
      <c r="F592" s="304">
        <f t="shared" si="915"/>
        <v>21258486.002906881</v>
      </c>
      <c r="G592" s="304">
        <f t="shared" si="915"/>
        <v>23036667.449050687</v>
      </c>
      <c r="H592" s="304">
        <f t="shared" si="915"/>
        <v>25107157.310783871</v>
      </c>
      <c r="I592" s="304">
        <f t="shared" si="915"/>
        <v>27521354.24114139</v>
      </c>
      <c r="J592" s="324"/>
    </row>
    <row r="593" spans="2:10" x14ac:dyDescent="0.2">
      <c r="B593" s="299" t="s">
        <v>320</v>
      </c>
      <c r="C593" s="306" t="s">
        <v>45</v>
      </c>
      <c r="D593" s="302">
        <f>+P129</f>
        <v>105.33</v>
      </c>
      <c r="E593" s="302">
        <f>+D593*(1+E594)*(1+E595)</f>
        <v>108.80588999999999</v>
      </c>
      <c r="F593" s="302">
        <f>+E593*(1+F594)*(1+F595)</f>
        <v>112.72290203999999</v>
      </c>
      <c r="G593" s="302">
        <f>+F593*(1+G594)*(1+G595)</f>
        <v>117.45726392568</v>
      </c>
      <c r="H593" s="302">
        <f>+G593*(1+H594)*(1+H595)</f>
        <v>123.09521259411264</v>
      </c>
      <c r="I593" s="302">
        <f>+H593*(1+I594)*(1+I595)</f>
        <v>129.74235407419474</v>
      </c>
      <c r="J593" s="324"/>
    </row>
    <row r="594" spans="2:10" x14ac:dyDescent="0.2">
      <c r="B594" s="299" t="s">
        <v>318</v>
      </c>
      <c r="C594" s="306" t="s">
        <v>160</v>
      </c>
      <c r="D594" s="320"/>
      <c r="E594" s="321">
        <f>+$E$408</f>
        <v>3.3000000000000002E-2</v>
      </c>
      <c r="F594" s="321">
        <f>+$F$408</f>
        <v>3.5999999999999997E-2</v>
      </c>
      <c r="G594" s="321">
        <f>+$G$408</f>
        <v>4.2000000000000003E-2</v>
      </c>
      <c r="H594" s="321">
        <f>+$H$408</f>
        <v>4.8000000000000001E-2</v>
      </c>
      <c r="I594" s="321">
        <f>+$I$408</f>
        <v>5.3999999999999999E-2</v>
      </c>
      <c r="J594" s="324"/>
    </row>
    <row r="595" spans="2:10" x14ac:dyDescent="0.2">
      <c r="B595" s="299" t="s">
        <v>305</v>
      </c>
      <c r="C595" s="300"/>
      <c r="D595" s="320"/>
      <c r="E595" s="279">
        <v>0</v>
      </c>
      <c r="F595" s="279">
        <v>0</v>
      </c>
      <c r="G595" s="279">
        <v>0</v>
      </c>
      <c r="H595" s="279">
        <v>0</v>
      </c>
      <c r="I595" s="279">
        <v>0</v>
      </c>
      <c r="J595" s="324"/>
    </row>
    <row r="596" spans="2:10" ht="15" x14ac:dyDescent="0.25">
      <c r="B596" s="322" t="s">
        <v>317</v>
      </c>
      <c r="C596" s="306"/>
      <c r="D596" s="323">
        <f t="shared" ref="D596:I596" si="916">+D593*D588</f>
        <v>1776419.9424000003</v>
      </c>
      <c r="E596" s="323">
        <f t="shared" si="916"/>
        <v>1908346.5047099998</v>
      </c>
      <c r="F596" s="323">
        <f t="shared" si="916"/>
        <v>2056065.7332096</v>
      </c>
      <c r="G596" s="323">
        <f t="shared" si="916"/>
        <v>2228046.839406224</v>
      </c>
      <c r="H596" s="323">
        <f t="shared" si="916"/>
        <v>2428299.2588440599</v>
      </c>
      <c r="I596" s="323">
        <f t="shared" si="916"/>
        <v>2661794.1361861792</v>
      </c>
      <c r="J596" s="324"/>
    </row>
    <row r="597" spans="2:10" x14ac:dyDescent="0.2">
      <c r="B597" s="299" t="s">
        <v>321</v>
      </c>
      <c r="C597" s="306" t="s">
        <v>45</v>
      </c>
      <c r="D597" s="302">
        <f>+P131</f>
        <v>0</v>
      </c>
      <c r="E597" s="302">
        <f>+D597*(1+E598)*(1+E599)</f>
        <v>0</v>
      </c>
      <c r="F597" s="302">
        <f>+E597*(1+F598)*(1+F599)</f>
        <v>0</v>
      </c>
      <c r="G597" s="302">
        <f>+F597*(1+G598)*(1+G599)</f>
        <v>0</v>
      </c>
      <c r="H597" s="302">
        <f>+G597*(1+H598)*(1+H599)</f>
        <v>0</v>
      </c>
      <c r="I597" s="302">
        <f>+H597*(1+I598)*(1+I599)</f>
        <v>0</v>
      </c>
    </row>
    <row r="598" spans="2:10" x14ac:dyDescent="0.2">
      <c r="B598" s="299" t="s">
        <v>318</v>
      </c>
      <c r="C598" s="306" t="s">
        <v>160</v>
      </c>
      <c r="D598" s="320"/>
      <c r="E598" s="321">
        <f>+$E$408</f>
        <v>3.3000000000000002E-2</v>
      </c>
      <c r="F598" s="321">
        <f>+$F$408</f>
        <v>3.5999999999999997E-2</v>
      </c>
      <c r="G598" s="321">
        <f>+$G$408</f>
        <v>4.2000000000000003E-2</v>
      </c>
      <c r="H598" s="321">
        <f>+$H$408</f>
        <v>4.8000000000000001E-2</v>
      </c>
      <c r="I598" s="321">
        <f>+$I$408</f>
        <v>5.3999999999999999E-2</v>
      </c>
    </row>
    <row r="599" spans="2:10" x14ac:dyDescent="0.2">
      <c r="B599" s="299" t="s">
        <v>305</v>
      </c>
      <c r="C599" s="300"/>
      <c r="D599" s="320"/>
      <c r="E599" s="279">
        <v>0</v>
      </c>
      <c r="F599" s="279">
        <v>0</v>
      </c>
      <c r="G599" s="279">
        <v>0</v>
      </c>
      <c r="H599" s="279">
        <v>0</v>
      </c>
      <c r="I599" s="279">
        <v>0</v>
      </c>
    </row>
    <row r="600" spans="2:10" ht="15" x14ac:dyDescent="0.25">
      <c r="B600" s="322" t="s">
        <v>317</v>
      </c>
      <c r="C600" s="306"/>
      <c r="D600" s="323">
        <f t="shared" ref="D600:I600" si="917">+D597*D588</f>
        <v>0</v>
      </c>
      <c r="E600" s="323">
        <f t="shared" si="917"/>
        <v>0</v>
      </c>
      <c r="F600" s="323">
        <f t="shared" si="917"/>
        <v>0</v>
      </c>
      <c r="G600" s="323">
        <f t="shared" si="917"/>
        <v>0</v>
      </c>
      <c r="H600" s="323">
        <f t="shared" si="917"/>
        <v>0</v>
      </c>
      <c r="I600" s="323">
        <f t="shared" si="917"/>
        <v>0</v>
      </c>
    </row>
    <row r="601" spans="2:10" x14ac:dyDescent="0.2">
      <c r="B601" s="316" t="str">
        <f>+Ingresos!B501</f>
        <v>Lechuga Batavia</v>
      </c>
      <c r="C601" s="317"/>
      <c r="D601" s="318"/>
      <c r="E601" s="318"/>
      <c r="F601" s="318"/>
      <c r="G601" s="318"/>
      <c r="H601" s="318"/>
      <c r="I601" s="318"/>
      <c r="J601" s="324"/>
    </row>
    <row r="602" spans="2:10" x14ac:dyDescent="0.2">
      <c r="B602" s="299" t="s">
        <v>159</v>
      </c>
      <c r="C602" s="319"/>
      <c r="D602" s="302">
        <f>+P134</f>
        <v>1597.0799999999997</v>
      </c>
      <c r="E602" s="302">
        <f>+Ingresos!D502</f>
        <v>1660</v>
      </c>
      <c r="F602" s="302">
        <f>+Ingresos!E502</f>
        <v>1726</v>
      </c>
      <c r="G602" s="302">
        <f>+Ingresos!F502</f>
        <v>1795</v>
      </c>
      <c r="H602" s="302">
        <f>+Ingresos!G502</f>
        <v>1866</v>
      </c>
      <c r="I602" s="302">
        <f>+Ingresos!H502</f>
        <v>1940</v>
      </c>
      <c r="J602" s="324"/>
    </row>
    <row r="603" spans="2:10" x14ac:dyDescent="0.2">
      <c r="B603" s="299" t="s">
        <v>319</v>
      </c>
      <c r="C603" s="306" t="s">
        <v>45</v>
      </c>
      <c r="D603" s="302">
        <f>+P135</f>
        <v>888.97900000000004</v>
      </c>
      <c r="E603" s="302">
        <f>+D603*(1+E604)*(1+E605)</f>
        <v>918.31530699999996</v>
      </c>
      <c r="F603" s="302">
        <f>+E603*(1+F604)*(1+F605)</f>
        <v>951.37465805199997</v>
      </c>
      <c r="G603" s="302">
        <f>+F603*(1+G604)*(1+G605)</f>
        <v>991.33239369018406</v>
      </c>
      <c r="H603" s="302">
        <f>+G603*(1+H604)*(1+H605)</f>
        <v>1038.916348587313</v>
      </c>
      <c r="I603" s="302">
        <f>+H603*(1+I604)*(1+I605)</f>
        <v>1095.0178314110281</v>
      </c>
      <c r="J603" s="324"/>
    </row>
    <row r="604" spans="2:10" x14ac:dyDescent="0.2">
      <c r="B604" s="299" t="s">
        <v>318</v>
      </c>
      <c r="C604" s="306" t="s">
        <v>160</v>
      </c>
      <c r="D604" s="320"/>
      <c r="E604" s="321">
        <f>E590</f>
        <v>3.3000000000000002E-2</v>
      </c>
      <c r="F604" s="321">
        <f>F576</f>
        <v>3.5999999999999997E-2</v>
      </c>
      <c r="G604" s="321">
        <f>G576</f>
        <v>4.2000000000000003E-2</v>
      </c>
      <c r="H604" s="321">
        <f>H576</f>
        <v>4.8000000000000001E-2</v>
      </c>
      <c r="I604" s="321">
        <f>+$I$408</f>
        <v>5.3999999999999999E-2</v>
      </c>
      <c r="J604" s="324"/>
    </row>
    <row r="605" spans="2:10" x14ac:dyDescent="0.2">
      <c r="B605" s="299" t="s">
        <v>305</v>
      </c>
      <c r="C605" s="300"/>
      <c r="D605" s="320"/>
      <c r="E605" s="279">
        <v>0</v>
      </c>
      <c r="F605" s="279">
        <v>0</v>
      </c>
      <c r="G605" s="279">
        <v>0</v>
      </c>
      <c r="H605" s="279">
        <v>0</v>
      </c>
      <c r="I605" s="279">
        <v>0</v>
      </c>
      <c r="J605" s="324"/>
    </row>
    <row r="606" spans="2:10" ht="15" x14ac:dyDescent="0.25">
      <c r="B606" s="322" t="s">
        <v>317</v>
      </c>
      <c r="C606" s="306"/>
      <c r="D606" s="304">
        <f t="shared" ref="D606:I606" si="918">D602*D603</f>
        <v>1419770.5813199999</v>
      </c>
      <c r="E606" s="304">
        <f t="shared" si="918"/>
        <v>1524403.40962</v>
      </c>
      <c r="F606" s="304">
        <f t="shared" si="918"/>
        <v>1642072.659797752</v>
      </c>
      <c r="G606" s="304">
        <f t="shared" si="918"/>
        <v>1779441.6466738803</v>
      </c>
      <c r="H606" s="304">
        <f t="shared" si="918"/>
        <v>1938617.906463926</v>
      </c>
      <c r="I606" s="304">
        <f t="shared" si="918"/>
        <v>2124334.5929373945</v>
      </c>
      <c r="J606" s="324"/>
    </row>
    <row r="607" spans="2:10" x14ac:dyDescent="0.2">
      <c r="B607" s="299" t="s">
        <v>320</v>
      </c>
      <c r="C607" s="306" t="s">
        <v>45</v>
      </c>
      <c r="D607" s="302">
        <f>+P137</f>
        <v>71.13</v>
      </c>
      <c r="E607" s="302">
        <f>+D607*(1+E608)*(1+E609)</f>
        <v>73.477289999999996</v>
      </c>
      <c r="F607" s="302">
        <f>+E607*(1+F608)*(1+F609)</f>
        <v>76.122472439999996</v>
      </c>
      <c r="G607" s="302">
        <f>+F607*(1+G608)*(1+G609)</f>
        <v>79.319616282479998</v>
      </c>
      <c r="H607" s="302">
        <f>+G607*(1+H608)*(1+H609)</f>
        <v>83.126957864039042</v>
      </c>
      <c r="I607" s="302">
        <f>+H607*(1+I608)*(1+I609)</f>
        <v>87.615813588697151</v>
      </c>
      <c r="J607" s="324"/>
    </row>
    <row r="608" spans="2:10" x14ac:dyDescent="0.2">
      <c r="B608" s="299" t="s">
        <v>318</v>
      </c>
      <c r="C608" s="306" t="s">
        <v>160</v>
      </c>
      <c r="D608" s="320"/>
      <c r="E608" s="321">
        <f>+$E$408</f>
        <v>3.3000000000000002E-2</v>
      </c>
      <c r="F608" s="321">
        <f>+$F$408</f>
        <v>3.5999999999999997E-2</v>
      </c>
      <c r="G608" s="321">
        <f>+$G$408</f>
        <v>4.2000000000000003E-2</v>
      </c>
      <c r="H608" s="321">
        <f>+$H$408</f>
        <v>4.8000000000000001E-2</v>
      </c>
      <c r="I608" s="321">
        <f>+$I$408</f>
        <v>5.3999999999999999E-2</v>
      </c>
      <c r="J608" s="324"/>
    </row>
    <row r="609" spans="2:10" x14ac:dyDescent="0.2">
      <c r="B609" s="299" t="s">
        <v>305</v>
      </c>
      <c r="C609" s="300"/>
      <c r="D609" s="320"/>
      <c r="E609" s="279">
        <v>0</v>
      </c>
      <c r="F609" s="279">
        <v>0</v>
      </c>
      <c r="G609" s="279">
        <v>0</v>
      </c>
      <c r="H609" s="279">
        <v>0</v>
      </c>
      <c r="I609" s="279">
        <v>0</v>
      </c>
      <c r="J609" s="324"/>
    </row>
    <row r="610" spans="2:10" ht="15" x14ac:dyDescent="0.25">
      <c r="B610" s="322" t="s">
        <v>317</v>
      </c>
      <c r="C610" s="306"/>
      <c r="D610" s="323">
        <f t="shared" ref="D610:I610" si="919">+D607*D602</f>
        <v>113600.30039999998</v>
      </c>
      <c r="E610" s="323">
        <f t="shared" si="919"/>
        <v>121972.3014</v>
      </c>
      <c r="F610" s="323">
        <f t="shared" si="919"/>
        <v>131387.38743144</v>
      </c>
      <c r="G610" s="323">
        <f t="shared" si="919"/>
        <v>142378.71122705159</v>
      </c>
      <c r="H610" s="323">
        <f t="shared" si="919"/>
        <v>155114.90337429685</v>
      </c>
      <c r="I610" s="323">
        <f t="shared" si="919"/>
        <v>169974.67836207247</v>
      </c>
      <c r="J610" s="324"/>
    </row>
    <row r="611" spans="2:10" x14ac:dyDescent="0.2">
      <c r="B611" s="299" t="s">
        <v>321</v>
      </c>
      <c r="C611" s="306" t="s">
        <v>45</v>
      </c>
      <c r="D611" s="302">
        <f>+P139</f>
        <v>0</v>
      </c>
      <c r="E611" s="302">
        <f>+D611*(1+E612)*(1+E613)</f>
        <v>0</v>
      </c>
      <c r="F611" s="302">
        <f>+E611*(1+F612)*(1+F613)</f>
        <v>0</v>
      </c>
      <c r="G611" s="302">
        <f>+F611*(1+G612)*(1+G613)</f>
        <v>0</v>
      </c>
      <c r="H611" s="302">
        <f>+G611*(1+H612)*(1+H613)</f>
        <v>0</v>
      </c>
      <c r="I611" s="302">
        <f>+H611*(1+I612)*(1+I613)</f>
        <v>0</v>
      </c>
    </row>
    <row r="612" spans="2:10" x14ac:dyDescent="0.2">
      <c r="B612" s="299" t="s">
        <v>318</v>
      </c>
      <c r="C612" s="306" t="s">
        <v>160</v>
      </c>
      <c r="D612" s="320"/>
      <c r="E612" s="321">
        <f>+$E$408</f>
        <v>3.3000000000000002E-2</v>
      </c>
      <c r="F612" s="321">
        <f>+$F$408</f>
        <v>3.5999999999999997E-2</v>
      </c>
      <c r="G612" s="321">
        <f>+$G$408</f>
        <v>4.2000000000000003E-2</v>
      </c>
      <c r="H612" s="321">
        <f>+$H$408</f>
        <v>4.8000000000000001E-2</v>
      </c>
      <c r="I612" s="321">
        <f>+$I$408</f>
        <v>5.3999999999999999E-2</v>
      </c>
    </row>
    <row r="613" spans="2:10" x14ac:dyDescent="0.2">
      <c r="B613" s="299" t="s">
        <v>305</v>
      </c>
      <c r="C613" s="300"/>
      <c r="D613" s="320"/>
      <c r="E613" s="279">
        <v>0</v>
      </c>
      <c r="F613" s="279">
        <v>0</v>
      </c>
      <c r="G613" s="279">
        <v>0</v>
      </c>
      <c r="H613" s="279">
        <v>0</v>
      </c>
      <c r="I613" s="279">
        <v>0</v>
      </c>
    </row>
    <row r="614" spans="2:10" ht="15" x14ac:dyDescent="0.25">
      <c r="B614" s="322" t="s">
        <v>317</v>
      </c>
      <c r="C614" s="306"/>
      <c r="D614" s="323">
        <f t="shared" ref="D614:I614" si="920">+D611*D602</f>
        <v>0</v>
      </c>
      <c r="E614" s="323">
        <f t="shared" si="920"/>
        <v>0</v>
      </c>
      <c r="F614" s="323">
        <f t="shared" si="920"/>
        <v>0</v>
      </c>
      <c r="G614" s="323">
        <f t="shared" si="920"/>
        <v>0</v>
      </c>
      <c r="H614" s="323">
        <f t="shared" si="920"/>
        <v>0</v>
      </c>
      <c r="I614" s="323">
        <f t="shared" si="920"/>
        <v>0</v>
      </c>
    </row>
    <row r="615" spans="2:10" x14ac:dyDescent="0.2">
      <c r="B615" s="316" t="str">
        <f>+Ingresos!B509</f>
        <v>Papa Capira</v>
      </c>
      <c r="C615" s="317"/>
      <c r="D615" s="318"/>
      <c r="E615" s="318"/>
      <c r="F615" s="318"/>
      <c r="G615" s="318"/>
      <c r="H615" s="318"/>
      <c r="I615" s="318"/>
      <c r="J615" s="324"/>
    </row>
    <row r="616" spans="2:10" x14ac:dyDescent="0.2">
      <c r="B616" s="299" t="s">
        <v>159</v>
      </c>
      <c r="C616" s="319"/>
      <c r="D616" s="302">
        <f>+P142</f>
        <v>37749.359999999993</v>
      </c>
      <c r="E616" s="302">
        <f>+Ingresos!D510</f>
        <v>39259</v>
      </c>
      <c r="F616" s="302">
        <f>+Ingresos!E510</f>
        <v>40829</v>
      </c>
      <c r="G616" s="302">
        <f>+Ingresos!F510</f>
        <v>42462</v>
      </c>
      <c r="H616" s="302">
        <f>+Ingresos!G510</f>
        <v>44160</v>
      </c>
      <c r="I616" s="302">
        <f>+Ingresos!H510</f>
        <v>45926</v>
      </c>
      <c r="J616" s="324"/>
    </row>
    <row r="617" spans="2:10" x14ac:dyDescent="0.2">
      <c r="B617" s="299" t="s">
        <v>319</v>
      </c>
      <c r="C617" s="306" t="s">
        <v>45</v>
      </c>
      <c r="D617" s="302">
        <f>+P143</f>
        <v>1467.1799999999998</v>
      </c>
      <c r="E617" s="302">
        <f>+D617*(1+E618)*(1+E619)</f>
        <v>1515.5969399999997</v>
      </c>
      <c r="F617" s="302">
        <f>+E617*(1+F618)*(1+F619)</f>
        <v>1570.1584298399998</v>
      </c>
      <c r="G617" s="302">
        <f>+F617*(1+G618)*(1+G619)</f>
        <v>1636.1050838932799</v>
      </c>
      <c r="H617" s="302">
        <f>+G617*(1+H618)*(1+H619)</f>
        <v>1714.6381279201573</v>
      </c>
      <c r="I617" s="302">
        <f>+H617*(1+I618)*(1+I619)</f>
        <v>1807.2285868278459</v>
      </c>
      <c r="J617" s="324"/>
    </row>
    <row r="618" spans="2:10" x14ac:dyDescent="0.2">
      <c r="B618" s="299" t="s">
        <v>318</v>
      </c>
      <c r="C618" s="306" t="s">
        <v>160</v>
      </c>
      <c r="D618" s="320"/>
      <c r="E618" s="321">
        <f>E604</f>
        <v>3.3000000000000002E-2</v>
      </c>
      <c r="F618" s="321">
        <f>F590</f>
        <v>3.5999999999999997E-2</v>
      </c>
      <c r="G618" s="321">
        <f>G590</f>
        <v>4.2000000000000003E-2</v>
      </c>
      <c r="H618" s="321">
        <f>H590</f>
        <v>4.8000000000000001E-2</v>
      </c>
      <c r="I618" s="321">
        <f>+$I$408</f>
        <v>5.3999999999999999E-2</v>
      </c>
      <c r="J618" s="324"/>
    </row>
    <row r="619" spans="2:10" x14ac:dyDescent="0.2">
      <c r="B619" s="299" t="s">
        <v>305</v>
      </c>
      <c r="C619" s="300"/>
      <c r="D619" s="320"/>
      <c r="E619" s="279">
        <v>0</v>
      </c>
      <c r="F619" s="279">
        <v>0</v>
      </c>
      <c r="G619" s="279">
        <v>0</v>
      </c>
      <c r="H619" s="279">
        <v>0</v>
      </c>
      <c r="I619" s="279">
        <v>0</v>
      </c>
      <c r="J619" s="324"/>
    </row>
    <row r="620" spans="2:10" ht="15" x14ac:dyDescent="0.25">
      <c r="B620" s="322" t="s">
        <v>317</v>
      </c>
      <c r="C620" s="306"/>
      <c r="D620" s="304">
        <f t="shared" ref="D620:I620" si="921">D616*D617</f>
        <v>55385106.004799984</v>
      </c>
      <c r="E620" s="304">
        <f t="shared" si="921"/>
        <v>59500820.267459989</v>
      </c>
      <c r="F620" s="304">
        <f t="shared" si="921"/>
        <v>64107998.531937353</v>
      </c>
      <c r="G620" s="304">
        <f t="shared" si="921"/>
        <v>69472294.072276458</v>
      </c>
      <c r="H620" s="304">
        <f t="shared" si="921"/>
        <v>75718419.728954151</v>
      </c>
      <c r="I620" s="304">
        <f t="shared" si="921"/>
        <v>82998780.078655645</v>
      </c>
      <c r="J620" s="324"/>
    </row>
    <row r="621" spans="2:10" x14ac:dyDescent="0.2">
      <c r="B621" s="299" t="s">
        <v>320</v>
      </c>
      <c r="C621" s="306" t="s">
        <v>45</v>
      </c>
      <c r="D621" s="302">
        <f>+P145</f>
        <v>109.96</v>
      </c>
      <c r="E621" s="302">
        <f>+D621*(1+E622)*(1+E623)</f>
        <v>113.58867999999998</v>
      </c>
      <c r="F621" s="302">
        <f>+E621*(1+F622)*(1+F623)</f>
        <v>117.67787247999999</v>
      </c>
      <c r="G621" s="302">
        <f>+F621*(1+G622)*(1+G623)</f>
        <v>122.62034312416</v>
      </c>
      <c r="H621" s="302">
        <f>+G621*(1+H622)*(1+H623)</f>
        <v>128.5061195941197</v>
      </c>
      <c r="I621" s="302">
        <f>+H621*(1+I622)*(1+I623)</f>
        <v>135.44545005220218</v>
      </c>
      <c r="J621" s="324"/>
    </row>
    <row r="622" spans="2:10" x14ac:dyDescent="0.2">
      <c r="B622" s="299" t="s">
        <v>318</v>
      </c>
      <c r="C622" s="306" t="s">
        <v>160</v>
      </c>
      <c r="D622" s="320"/>
      <c r="E622" s="321">
        <f>+$E$408</f>
        <v>3.3000000000000002E-2</v>
      </c>
      <c r="F622" s="321">
        <f>+$F$408</f>
        <v>3.5999999999999997E-2</v>
      </c>
      <c r="G622" s="321">
        <f>+$G$408</f>
        <v>4.2000000000000003E-2</v>
      </c>
      <c r="H622" s="321">
        <f>+$H$408</f>
        <v>4.8000000000000001E-2</v>
      </c>
      <c r="I622" s="321">
        <f>+$I$408</f>
        <v>5.3999999999999999E-2</v>
      </c>
      <c r="J622" s="324"/>
    </row>
    <row r="623" spans="2:10" x14ac:dyDescent="0.2">
      <c r="B623" s="299" t="s">
        <v>305</v>
      </c>
      <c r="C623" s="300"/>
      <c r="D623" s="320"/>
      <c r="E623" s="279">
        <v>0</v>
      </c>
      <c r="F623" s="279">
        <v>0</v>
      </c>
      <c r="G623" s="279">
        <v>0</v>
      </c>
      <c r="H623" s="279">
        <v>0</v>
      </c>
      <c r="I623" s="279">
        <v>0</v>
      </c>
      <c r="J623" s="324"/>
    </row>
    <row r="624" spans="2:10" ht="15" x14ac:dyDescent="0.25">
      <c r="B624" s="322" t="s">
        <v>317</v>
      </c>
      <c r="C624" s="306"/>
      <c r="D624" s="323">
        <f t="shared" ref="D624:I624" si="922">+D621*D616</f>
        <v>4150919.625599999</v>
      </c>
      <c r="E624" s="323">
        <f t="shared" si="922"/>
        <v>4459377.9881199989</v>
      </c>
      <c r="F624" s="323">
        <f t="shared" si="922"/>
        <v>4804669.8554859199</v>
      </c>
      <c r="G624" s="323">
        <f t="shared" si="922"/>
        <v>5206705.0097380821</v>
      </c>
      <c r="H624" s="323">
        <f t="shared" si="922"/>
        <v>5674830.2412763257</v>
      </c>
      <c r="I624" s="323">
        <f t="shared" si="922"/>
        <v>6220467.7390974369</v>
      </c>
      <c r="J624" s="324"/>
    </row>
    <row r="625" spans="2:10" x14ac:dyDescent="0.2">
      <c r="B625" s="299" t="s">
        <v>321</v>
      </c>
      <c r="C625" s="306" t="s">
        <v>45</v>
      </c>
      <c r="D625" s="302">
        <f>+P147</f>
        <v>0</v>
      </c>
      <c r="E625" s="302">
        <f>+D625*(1+E626)*(1+E627)</f>
        <v>0</v>
      </c>
      <c r="F625" s="302">
        <f>+E625*(1+F626)*(1+F627)</f>
        <v>0</v>
      </c>
      <c r="G625" s="302">
        <f>+F625*(1+G626)*(1+G627)</f>
        <v>0</v>
      </c>
      <c r="H625" s="302">
        <f>+G625*(1+H626)*(1+H627)</f>
        <v>0</v>
      </c>
      <c r="I625" s="302">
        <f>+H625*(1+I626)*(1+I627)</f>
        <v>0</v>
      </c>
    </row>
    <row r="626" spans="2:10" x14ac:dyDescent="0.2">
      <c r="B626" s="299" t="s">
        <v>318</v>
      </c>
      <c r="C626" s="306" t="s">
        <v>160</v>
      </c>
      <c r="D626" s="320"/>
      <c r="E626" s="321">
        <f>+$E$408</f>
        <v>3.3000000000000002E-2</v>
      </c>
      <c r="F626" s="321">
        <f>+$F$408</f>
        <v>3.5999999999999997E-2</v>
      </c>
      <c r="G626" s="321">
        <f>+$G$408</f>
        <v>4.2000000000000003E-2</v>
      </c>
      <c r="H626" s="321">
        <f>+$H$408</f>
        <v>4.8000000000000001E-2</v>
      </c>
      <c r="I626" s="321">
        <f>+$I$408</f>
        <v>5.3999999999999999E-2</v>
      </c>
    </row>
    <row r="627" spans="2:10" x14ac:dyDescent="0.2">
      <c r="B627" s="299" t="s">
        <v>305</v>
      </c>
      <c r="C627" s="300"/>
      <c r="D627" s="320"/>
      <c r="E627" s="279">
        <v>0</v>
      </c>
      <c r="F627" s="279">
        <v>0</v>
      </c>
      <c r="G627" s="279">
        <v>0</v>
      </c>
      <c r="H627" s="279">
        <v>0</v>
      </c>
      <c r="I627" s="279">
        <v>0</v>
      </c>
    </row>
    <row r="628" spans="2:10" ht="15" x14ac:dyDescent="0.25">
      <c r="B628" s="322" t="s">
        <v>317</v>
      </c>
      <c r="C628" s="306"/>
      <c r="D628" s="323">
        <f t="shared" ref="D628:I628" si="923">+D625*D616</f>
        <v>0</v>
      </c>
      <c r="E628" s="323">
        <f t="shared" si="923"/>
        <v>0</v>
      </c>
      <c r="F628" s="323">
        <f t="shared" si="923"/>
        <v>0</v>
      </c>
      <c r="G628" s="323">
        <f t="shared" si="923"/>
        <v>0</v>
      </c>
      <c r="H628" s="323">
        <f t="shared" si="923"/>
        <v>0</v>
      </c>
      <c r="I628" s="323">
        <f t="shared" si="923"/>
        <v>0</v>
      </c>
    </row>
    <row r="629" spans="2:10" x14ac:dyDescent="0.2">
      <c r="B629" s="316" t="str">
        <f>+Ingresos!B517</f>
        <v>Papa criolla</v>
      </c>
      <c r="C629" s="317"/>
      <c r="D629" s="318"/>
      <c r="E629" s="318"/>
      <c r="F629" s="318"/>
      <c r="G629" s="318"/>
      <c r="H629" s="318"/>
      <c r="I629" s="318"/>
      <c r="J629" s="324"/>
    </row>
    <row r="630" spans="2:10" x14ac:dyDescent="0.2">
      <c r="B630" s="299" t="s">
        <v>159</v>
      </c>
      <c r="C630" s="319"/>
      <c r="D630" s="302">
        <f>+P150</f>
        <v>18119.64</v>
      </c>
      <c r="E630" s="302">
        <f>+Ingresos!D518</f>
        <v>18844</v>
      </c>
      <c r="F630" s="302">
        <f>+Ingresos!E518</f>
        <v>19597</v>
      </c>
      <c r="G630" s="302">
        <f>+Ingresos!F518</f>
        <v>20380</v>
      </c>
      <c r="H630" s="302">
        <f>+Ingresos!G518</f>
        <v>21195</v>
      </c>
      <c r="I630" s="302">
        <f>+Ingresos!H518</f>
        <v>22042</v>
      </c>
      <c r="J630" s="324"/>
    </row>
    <row r="631" spans="2:10" x14ac:dyDescent="0.2">
      <c r="B631" s="299" t="s">
        <v>319</v>
      </c>
      <c r="C631" s="306" t="s">
        <v>45</v>
      </c>
      <c r="D631" s="302">
        <f>+P151</f>
        <v>1934.0100000000002</v>
      </c>
      <c r="E631" s="302">
        <f>+D631*(1+E632)*(1+E633)</f>
        <v>1997.83233</v>
      </c>
      <c r="F631" s="302">
        <f>+E631*(1+F632)*(1+F633)</f>
        <v>2069.7542938800002</v>
      </c>
      <c r="G631" s="302">
        <f>+F631*(1+G632)*(1+G633)</f>
        <v>2156.6839742229604</v>
      </c>
      <c r="H631" s="302">
        <f>+G631*(1+H632)*(1+H633)</f>
        <v>2260.2048049856626</v>
      </c>
      <c r="I631" s="302">
        <f>+H631*(1+I632)*(1+I633)</f>
        <v>2382.2558644548885</v>
      </c>
      <c r="J631" s="324"/>
    </row>
    <row r="632" spans="2:10" x14ac:dyDescent="0.2">
      <c r="B632" s="299" t="s">
        <v>318</v>
      </c>
      <c r="C632" s="306" t="s">
        <v>160</v>
      </c>
      <c r="D632" s="320"/>
      <c r="E632" s="321">
        <f>E618</f>
        <v>3.3000000000000002E-2</v>
      </c>
      <c r="F632" s="321">
        <f>F604</f>
        <v>3.5999999999999997E-2</v>
      </c>
      <c r="G632" s="321">
        <f>G604</f>
        <v>4.2000000000000003E-2</v>
      </c>
      <c r="H632" s="321">
        <f>H604</f>
        <v>4.8000000000000001E-2</v>
      </c>
      <c r="I632" s="321">
        <f>+$I$408</f>
        <v>5.3999999999999999E-2</v>
      </c>
      <c r="J632" s="324"/>
    </row>
    <row r="633" spans="2:10" x14ac:dyDescent="0.2">
      <c r="B633" s="299" t="s">
        <v>305</v>
      </c>
      <c r="C633" s="300"/>
      <c r="D633" s="320"/>
      <c r="E633" s="279">
        <v>0</v>
      </c>
      <c r="F633" s="279">
        <v>0</v>
      </c>
      <c r="G633" s="279">
        <v>0</v>
      </c>
      <c r="H633" s="279">
        <v>0</v>
      </c>
      <c r="I633" s="279">
        <v>0</v>
      </c>
      <c r="J633" s="324"/>
    </row>
    <row r="634" spans="2:10" ht="15" x14ac:dyDescent="0.25">
      <c r="B634" s="322" t="s">
        <v>317</v>
      </c>
      <c r="C634" s="306"/>
      <c r="D634" s="304">
        <f t="shared" ref="D634:I634" si="924">D630*D631</f>
        <v>35043564.9564</v>
      </c>
      <c r="E634" s="304">
        <f t="shared" si="924"/>
        <v>37647152.426519997</v>
      </c>
      <c r="F634" s="304">
        <f t="shared" si="924"/>
        <v>40560974.897166364</v>
      </c>
      <c r="G634" s="304">
        <f t="shared" si="924"/>
        <v>43953219.39466393</v>
      </c>
      <c r="H634" s="304">
        <f t="shared" si="924"/>
        <v>47905040.841671117</v>
      </c>
      <c r="I634" s="304">
        <f t="shared" si="924"/>
        <v>52509683.764314651</v>
      </c>
      <c r="J634" s="324"/>
    </row>
    <row r="635" spans="2:10" x14ac:dyDescent="0.2">
      <c r="B635" s="299" t="s">
        <v>320</v>
      </c>
      <c r="C635" s="306" t="s">
        <v>45</v>
      </c>
      <c r="D635" s="302">
        <f>+P153</f>
        <v>249.66</v>
      </c>
      <c r="E635" s="302">
        <f>+D635*(1+E636)*(1+E637)</f>
        <v>257.89877999999999</v>
      </c>
      <c r="F635" s="302">
        <f>+E635*(1+F636)*(1+F637)</f>
        <v>267.18313608</v>
      </c>
      <c r="G635" s="302">
        <f>+F635*(1+G636)*(1+G637)</f>
        <v>278.40482779536001</v>
      </c>
      <c r="H635" s="302">
        <f>+G635*(1+H636)*(1+H637)</f>
        <v>291.76825952953732</v>
      </c>
      <c r="I635" s="302">
        <f>+H635*(1+I636)*(1+I637)</f>
        <v>307.52374554413234</v>
      </c>
      <c r="J635" s="324"/>
    </row>
    <row r="636" spans="2:10" x14ac:dyDescent="0.2">
      <c r="B636" s="299" t="s">
        <v>318</v>
      </c>
      <c r="C636" s="306" t="s">
        <v>160</v>
      </c>
      <c r="D636" s="320"/>
      <c r="E636" s="321">
        <f>+$E$408</f>
        <v>3.3000000000000002E-2</v>
      </c>
      <c r="F636" s="321">
        <f>+$F$408</f>
        <v>3.5999999999999997E-2</v>
      </c>
      <c r="G636" s="321">
        <f>+$G$408</f>
        <v>4.2000000000000003E-2</v>
      </c>
      <c r="H636" s="321">
        <f>+$H$408</f>
        <v>4.8000000000000001E-2</v>
      </c>
      <c r="I636" s="321">
        <f>+$I$408</f>
        <v>5.3999999999999999E-2</v>
      </c>
      <c r="J636" s="324"/>
    </row>
    <row r="637" spans="2:10" x14ac:dyDescent="0.2">
      <c r="B637" s="299" t="s">
        <v>305</v>
      </c>
      <c r="C637" s="300"/>
      <c r="D637" s="320"/>
      <c r="E637" s="279">
        <v>0</v>
      </c>
      <c r="F637" s="279">
        <v>0</v>
      </c>
      <c r="G637" s="279">
        <v>0</v>
      </c>
      <c r="H637" s="279">
        <v>0</v>
      </c>
      <c r="I637" s="279">
        <v>0</v>
      </c>
      <c r="J637" s="324"/>
    </row>
    <row r="638" spans="2:10" ht="15" x14ac:dyDescent="0.25">
      <c r="B638" s="322" t="s">
        <v>317</v>
      </c>
      <c r="C638" s="306"/>
      <c r="D638" s="323">
        <f t="shared" ref="D638:I638" si="925">+D635*D630</f>
        <v>4523749.3223999999</v>
      </c>
      <c r="E638" s="323">
        <f t="shared" si="925"/>
        <v>4859844.61032</v>
      </c>
      <c r="F638" s="323">
        <f t="shared" si="925"/>
        <v>5235987.9177597603</v>
      </c>
      <c r="G638" s="323">
        <f t="shared" si="925"/>
        <v>5673890.3904694365</v>
      </c>
      <c r="H638" s="323">
        <f t="shared" si="925"/>
        <v>6184028.2607285436</v>
      </c>
      <c r="I638" s="323">
        <f t="shared" si="925"/>
        <v>6778438.3992837649</v>
      </c>
      <c r="J638" s="324"/>
    </row>
    <row r="639" spans="2:10" x14ac:dyDescent="0.2">
      <c r="B639" s="299" t="s">
        <v>321</v>
      </c>
      <c r="C639" s="306" t="s">
        <v>45</v>
      </c>
      <c r="D639" s="302">
        <f>+P155</f>
        <v>0</v>
      </c>
      <c r="E639" s="302">
        <f>+D639*(1+E640)*(1+E641)</f>
        <v>0</v>
      </c>
      <c r="F639" s="302">
        <f>+E639*(1+F640)*(1+F641)</f>
        <v>0</v>
      </c>
      <c r="G639" s="302">
        <f>+F639*(1+G640)*(1+G641)</f>
        <v>0</v>
      </c>
      <c r="H639" s="302">
        <f>+G639*(1+H640)*(1+H641)</f>
        <v>0</v>
      </c>
      <c r="I639" s="302">
        <f>+H639*(1+I640)*(1+I641)</f>
        <v>0</v>
      </c>
    </row>
    <row r="640" spans="2:10" x14ac:dyDescent="0.2">
      <c r="B640" s="299" t="s">
        <v>318</v>
      </c>
      <c r="C640" s="306" t="s">
        <v>160</v>
      </c>
      <c r="D640" s="320"/>
      <c r="E640" s="321">
        <f>+$E$408</f>
        <v>3.3000000000000002E-2</v>
      </c>
      <c r="F640" s="321">
        <f>+$F$408</f>
        <v>3.5999999999999997E-2</v>
      </c>
      <c r="G640" s="321">
        <f>+$G$408</f>
        <v>4.2000000000000003E-2</v>
      </c>
      <c r="H640" s="321">
        <f>+$H$408</f>
        <v>4.8000000000000001E-2</v>
      </c>
      <c r="I640" s="321">
        <f>+$I$408</f>
        <v>5.3999999999999999E-2</v>
      </c>
    </row>
    <row r="641" spans="2:10" x14ac:dyDescent="0.2">
      <c r="B641" s="299" t="s">
        <v>305</v>
      </c>
      <c r="C641" s="300"/>
      <c r="D641" s="320"/>
      <c r="E641" s="279">
        <v>0</v>
      </c>
      <c r="F641" s="279">
        <v>0</v>
      </c>
      <c r="G641" s="279">
        <v>0</v>
      </c>
      <c r="H641" s="279">
        <v>0</v>
      </c>
      <c r="I641" s="279">
        <v>0</v>
      </c>
    </row>
    <row r="642" spans="2:10" ht="15" x14ac:dyDescent="0.25">
      <c r="B642" s="322" t="s">
        <v>317</v>
      </c>
      <c r="C642" s="306"/>
      <c r="D642" s="323">
        <f t="shared" ref="D642:I642" si="926">+D639*D630</f>
        <v>0</v>
      </c>
      <c r="E642" s="323">
        <f t="shared" si="926"/>
        <v>0</v>
      </c>
      <c r="F642" s="323">
        <f t="shared" si="926"/>
        <v>0</v>
      </c>
      <c r="G642" s="323">
        <f t="shared" si="926"/>
        <v>0</v>
      </c>
      <c r="H642" s="323">
        <f t="shared" si="926"/>
        <v>0</v>
      </c>
      <c r="I642" s="323">
        <f t="shared" si="926"/>
        <v>0</v>
      </c>
    </row>
    <row r="643" spans="2:10" x14ac:dyDescent="0.2">
      <c r="B643" s="316" t="str">
        <f>+Ingresos!B525</f>
        <v>Pepino cohombro</v>
      </c>
      <c r="C643" s="317"/>
      <c r="D643" s="318"/>
      <c r="E643" s="318"/>
      <c r="F643" s="318"/>
      <c r="G643" s="318"/>
      <c r="H643" s="318"/>
      <c r="I643" s="318"/>
      <c r="J643" s="324"/>
    </row>
    <row r="644" spans="2:10" x14ac:dyDescent="0.2">
      <c r="B644" s="299" t="s">
        <v>159</v>
      </c>
      <c r="C644" s="319"/>
      <c r="D644" s="302">
        <f>+P158</f>
        <v>3484.5600000000009</v>
      </c>
      <c r="E644" s="302">
        <f>+Ingresos!D526</f>
        <v>3623</v>
      </c>
      <c r="F644" s="302">
        <f>+Ingresos!E526</f>
        <v>3767</v>
      </c>
      <c r="G644" s="302">
        <f>+Ingresos!F526</f>
        <v>3917</v>
      </c>
      <c r="H644" s="302">
        <f>+Ingresos!G526</f>
        <v>4073</v>
      </c>
      <c r="I644" s="302">
        <f>+Ingresos!H526</f>
        <v>4235</v>
      </c>
      <c r="J644" s="324"/>
    </row>
    <row r="645" spans="2:10" x14ac:dyDescent="0.2">
      <c r="B645" s="299" t="s">
        <v>319</v>
      </c>
      <c r="C645" s="306" t="s">
        <v>45</v>
      </c>
      <c r="D645" s="302">
        <f>+P159</f>
        <v>600.21</v>
      </c>
      <c r="E645" s="302">
        <f>+D645*(1+E646)*(1+E647)</f>
        <v>620.01693</v>
      </c>
      <c r="F645" s="302">
        <f>+E645*(1+F646)*(1+F647)</f>
        <v>642.33753948000003</v>
      </c>
      <c r="G645" s="302">
        <f>+F645*(1+G646)*(1+G647)</f>
        <v>669.31571613816004</v>
      </c>
      <c r="H645" s="302">
        <f>+G645*(1+H646)*(1+H647)</f>
        <v>701.44287051279173</v>
      </c>
      <c r="I645" s="302">
        <f>+H645*(1+I646)*(1+I647)</f>
        <v>739.32078552048256</v>
      </c>
      <c r="J645" s="324"/>
    </row>
    <row r="646" spans="2:10" x14ac:dyDescent="0.2">
      <c r="B646" s="299" t="s">
        <v>318</v>
      </c>
      <c r="C646" s="306" t="s">
        <v>160</v>
      </c>
      <c r="D646" s="320"/>
      <c r="E646" s="321">
        <f>E632</f>
        <v>3.3000000000000002E-2</v>
      </c>
      <c r="F646" s="321">
        <f>F618</f>
        <v>3.5999999999999997E-2</v>
      </c>
      <c r="G646" s="321">
        <f>G618</f>
        <v>4.2000000000000003E-2</v>
      </c>
      <c r="H646" s="321">
        <f>H618</f>
        <v>4.8000000000000001E-2</v>
      </c>
      <c r="I646" s="321">
        <f>+$I$408</f>
        <v>5.3999999999999999E-2</v>
      </c>
      <c r="J646" s="324"/>
    </row>
    <row r="647" spans="2:10" x14ac:dyDescent="0.2">
      <c r="B647" s="299" t="s">
        <v>305</v>
      </c>
      <c r="C647" s="300"/>
      <c r="D647" s="320"/>
      <c r="E647" s="279">
        <v>0</v>
      </c>
      <c r="F647" s="279">
        <v>0</v>
      </c>
      <c r="G647" s="279">
        <v>0</v>
      </c>
      <c r="H647" s="279">
        <v>0</v>
      </c>
      <c r="I647" s="279">
        <v>0</v>
      </c>
      <c r="J647" s="324"/>
    </row>
    <row r="648" spans="2:10" ht="15" x14ac:dyDescent="0.25">
      <c r="B648" s="322" t="s">
        <v>317</v>
      </c>
      <c r="C648" s="306"/>
      <c r="D648" s="304">
        <f t="shared" ref="D648:I648" si="927">D644*D645</f>
        <v>2091467.7576000006</v>
      </c>
      <c r="E648" s="304">
        <f t="shared" si="927"/>
        <v>2246321.33739</v>
      </c>
      <c r="F648" s="304">
        <f t="shared" si="927"/>
        <v>2419685.5112211602</v>
      </c>
      <c r="G648" s="304">
        <f t="shared" si="927"/>
        <v>2621709.6601131731</v>
      </c>
      <c r="H648" s="304">
        <f t="shared" si="927"/>
        <v>2856976.8115986008</v>
      </c>
      <c r="I648" s="304">
        <f t="shared" si="927"/>
        <v>3131023.5266792434</v>
      </c>
      <c r="J648" s="324"/>
    </row>
    <row r="649" spans="2:10" x14ac:dyDescent="0.2">
      <c r="B649" s="299" t="s">
        <v>320</v>
      </c>
      <c r="C649" s="306" t="s">
        <v>45</v>
      </c>
      <c r="D649" s="302">
        <f>+P161</f>
        <v>21.76</v>
      </c>
      <c r="E649" s="302">
        <f>+D649*(1+E650)*(1+E651)</f>
        <v>22.478079999999999</v>
      </c>
      <c r="F649" s="302">
        <f>+E649*(1+F650)*(1+F651)</f>
        <v>23.28729088</v>
      </c>
      <c r="G649" s="302">
        <f>+F649*(1+G650)*(1+G651)</f>
        <v>24.265357096960003</v>
      </c>
      <c r="H649" s="302">
        <f>+G649*(1+H650)*(1+H651)</f>
        <v>25.430094237614085</v>
      </c>
      <c r="I649" s="302">
        <f>+H649*(1+I650)*(1+I651)</f>
        <v>26.803319326445248</v>
      </c>
      <c r="J649" s="324"/>
    </row>
    <row r="650" spans="2:10" x14ac:dyDescent="0.2">
      <c r="B650" s="299" t="s">
        <v>318</v>
      </c>
      <c r="C650" s="306" t="s">
        <v>160</v>
      </c>
      <c r="D650" s="320"/>
      <c r="E650" s="321">
        <f>+$E$408</f>
        <v>3.3000000000000002E-2</v>
      </c>
      <c r="F650" s="321">
        <f>+$F$408</f>
        <v>3.5999999999999997E-2</v>
      </c>
      <c r="G650" s="321">
        <f>+$G$408</f>
        <v>4.2000000000000003E-2</v>
      </c>
      <c r="H650" s="321">
        <f>+$H$408</f>
        <v>4.8000000000000001E-2</v>
      </c>
      <c r="I650" s="321">
        <f>+$I$408</f>
        <v>5.3999999999999999E-2</v>
      </c>
      <c r="J650" s="324"/>
    </row>
    <row r="651" spans="2:10" x14ac:dyDescent="0.2">
      <c r="B651" s="299" t="s">
        <v>305</v>
      </c>
      <c r="C651" s="300"/>
      <c r="D651" s="320"/>
      <c r="E651" s="279">
        <v>0</v>
      </c>
      <c r="F651" s="279">
        <v>0</v>
      </c>
      <c r="G651" s="279">
        <v>0</v>
      </c>
      <c r="H651" s="279">
        <v>0</v>
      </c>
      <c r="I651" s="279">
        <v>0</v>
      </c>
      <c r="J651" s="324"/>
    </row>
    <row r="652" spans="2:10" ht="15" x14ac:dyDescent="0.25">
      <c r="B652" s="322" t="s">
        <v>317</v>
      </c>
      <c r="C652" s="306"/>
      <c r="D652" s="323">
        <f t="shared" ref="D652:I652" si="928">+D649*D644</f>
        <v>75824.025600000023</v>
      </c>
      <c r="E652" s="323">
        <f t="shared" si="928"/>
        <v>81438.083839999992</v>
      </c>
      <c r="F652" s="323">
        <f t="shared" si="928"/>
        <v>87723.224744959996</v>
      </c>
      <c r="G652" s="323">
        <f t="shared" si="928"/>
        <v>95047.403748792334</v>
      </c>
      <c r="H652" s="323">
        <f t="shared" si="928"/>
        <v>103576.77382980217</v>
      </c>
      <c r="I652" s="323">
        <f t="shared" si="928"/>
        <v>113512.05734749562</v>
      </c>
      <c r="J652" s="324"/>
    </row>
    <row r="653" spans="2:10" x14ac:dyDescent="0.2">
      <c r="B653" s="299" t="s">
        <v>321</v>
      </c>
      <c r="C653" s="306" t="s">
        <v>45</v>
      </c>
      <c r="D653" s="302">
        <f>+P163</f>
        <v>0</v>
      </c>
      <c r="E653" s="302">
        <f>+D653*(1+E654)*(1+E655)</f>
        <v>0</v>
      </c>
      <c r="F653" s="302">
        <f>+E653*(1+F654)*(1+F655)</f>
        <v>0</v>
      </c>
      <c r="G653" s="302">
        <f>+F653*(1+G654)*(1+G655)</f>
        <v>0</v>
      </c>
      <c r="H653" s="302">
        <f>+G653*(1+H654)*(1+H655)</f>
        <v>0</v>
      </c>
      <c r="I653" s="302">
        <f>+H653*(1+I654)*(1+I655)</f>
        <v>0</v>
      </c>
    </row>
    <row r="654" spans="2:10" x14ac:dyDescent="0.2">
      <c r="B654" s="299" t="s">
        <v>318</v>
      </c>
      <c r="C654" s="306" t="s">
        <v>160</v>
      </c>
      <c r="D654" s="320"/>
      <c r="E654" s="321">
        <f>+$E$408</f>
        <v>3.3000000000000002E-2</v>
      </c>
      <c r="F654" s="321">
        <f>+$F$408</f>
        <v>3.5999999999999997E-2</v>
      </c>
      <c r="G654" s="321">
        <f>+$G$408</f>
        <v>4.2000000000000003E-2</v>
      </c>
      <c r="H654" s="321">
        <f>+$H$408</f>
        <v>4.8000000000000001E-2</v>
      </c>
      <c r="I654" s="321">
        <f>+$I$408</f>
        <v>5.3999999999999999E-2</v>
      </c>
    </row>
    <row r="655" spans="2:10" x14ac:dyDescent="0.2">
      <c r="B655" s="299" t="s">
        <v>305</v>
      </c>
      <c r="C655" s="300"/>
      <c r="D655" s="320"/>
      <c r="E655" s="279">
        <v>0</v>
      </c>
      <c r="F655" s="279">
        <v>0</v>
      </c>
      <c r="G655" s="279">
        <v>0</v>
      </c>
      <c r="H655" s="279">
        <v>0</v>
      </c>
      <c r="I655" s="279">
        <v>0</v>
      </c>
    </row>
    <row r="656" spans="2:10" ht="15" x14ac:dyDescent="0.25">
      <c r="B656" s="322" t="s">
        <v>317</v>
      </c>
      <c r="C656" s="306"/>
      <c r="D656" s="323">
        <f t="shared" ref="D656:I656" si="929">+D653*D644</f>
        <v>0</v>
      </c>
      <c r="E656" s="323">
        <f t="shared" si="929"/>
        <v>0</v>
      </c>
      <c r="F656" s="323">
        <f t="shared" si="929"/>
        <v>0</v>
      </c>
      <c r="G656" s="323">
        <f t="shared" si="929"/>
        <v>0</v>
      </c>
      <c r="H656" s="323">
        <f t="shared" si="929"/>
        <v>0</v>
      </c>
      <c r="I656" s="323">
        <f t="shared" si="929"/>
        <v>0</v>
      </c>
    </row>
    <row r="657" spans="2:10" x14ac:dyDescent="0.2">
      <c r="B657" s="316" t="str">
        <f>+Ingresos!B533</f>
        <v>Perejil</v>
      </c>
      <c r="C657" s="317"/>
      <c r="D657" s="318"/>
      <c r="E657" s="318"/>
      <c r="F657" s="318"/>
      <c r="G657" s="318"/>
      <c r="H657" s="318"/>
      <c r="I657" s="318"/>
      <c r="J657" s="324"/>
    </row>
    <row r="658" spans="2:10" x14ac:dyDescent="0.2">
      <c r="B658" s="299" t="s">
        <v>159</v>
      </c>
      <c r="C658" s="319"/>
      <c r="D658" s="302">
        <f>+P166</f>
        <v>3019.9199999999996</v>
      </c>
      <c r="E658" s="302">
        <f>+Ingresos!D534</f>
        <v>3140</v>
      </c>
      <c r="F658" s="302">
        <f>+Ingresos!E534</f>
        <v>3265</v>
      </c>
      <c r="G658" s="302">
        <f>+Ingresos!F534</f>
        <v>3395</v>
      </c>
      <c r="H658" s="302">
        <f>+Ingresos!G534</f>
        <v>3530</v>
      </c>
      <c r="I658" s="302">
        <f>+Ingresos!H534</f>
        <v>3671</v>
      </c>
      <c r="J658" s="324"/>
    </row>
    <row r="659" spans="2:10" x14ac:dyDescent="0.2">
      <c r="B659" s="299" t="s">
        <v>319</v>
      </c>
      <c r="C659" s="306" t="s">
        <v>45</v>
      </c>
      <c r="D659" s="302">
        <f>+P167</f>
        <v>2000.7</v>
      </c>
      <c r="E659" s="302">
        <f>+D659*(1+E660)*(1+E661)</f>
        <v>2066.7230999999997</v>
      </c>
      <c r="F659" s="302">
        <f>+E659*(1+F660)*(1+F661)</f>
        <v>2141.1251315999998</v>
      </c>
      <c r="G659" s="302">
        <f>+F659*(1+G660)*(1+G661)</f>
        <v>2231.0523871271998</v>
      </c>
      <c r="H659" s="302">
        <f>+G659*(1+H660)*(1+H661)</f>
        <v>2338.1429017093055</v>
      </c>
      <c r="I659" s="302">
        <f>+H659*(1+I660)*(1+I661)</f>
        <v>2464.4026184016079</v>
      </c>
      <c r="J659" s="324"/>
    </row>
    <row r="660" spans="2:10" x14ac:dyDescent="0.2">
      <c r="B660" s="299" t="s">
        <v>318</v>
      </c>
      <c r="C660" s="306" t="s">
        <v>160</v>
      </c>
      <c r="D660" s="320"/>
      <c r="E660" s="321">
        <f>E646</f>
        <v>3.3000000000000002E-2</v>
      </c>
      <c r="F660" s="321">
        <f>F632</f>
        <v>3.5999999999999997E-2</v>
      </c>
      <c r="G660" s="321">
        <f>G632</f>
        <v>4.2000000000000003E-2</v>
      </c>
      <c r="H660" s="321">
        <f>H632</f>
        <v>4.8000000000000001E-2</v>
      </c>
      <c r="I660" s="321">
        <f>+$I$408</f>
        <v>5.3999999999999999E-2</v>
      </c>
      <c r="J660" s="324"/>
    </row>
    <row r="661" spans="2:10" x14ac:dyDescent="0.2">
      <c r="B661" s="299" t="s">
        <v>305</v>
      </c>
      <c r="C661" s="300"/>
      <c r="D661" s="320"/>
      <c r="E661" s="279">
        <v>0</v>
      </c>
      <c r="F661" s="279">
        <v>0</v>
      </c>
      <c r="G661" s="279">
        <v>0</v>
      </c>
      <c r="H661" s="279">
        <v>0</v>
      </c>
      <c r="I661" s="279">
        <v>0</v>
      </c>
      <c r="J661" s="324"/>
    </row>
    <row r="662" spans="2:10" ht="15" x14ac:dyDescent="0.25">
      <c r="B662" s="322" t="s">
        <v>317</v>
      </c>
      <c r="C662" s="306"/>
      <c r="D662" s="304">
        <f t="shared" ref="D662:I662" si="930">D658*D659</f>
        <v>6041953.9439999992</v>
      </c>
      <c r="E662" s="304">
        <f t="shared" si="930"/>
        <v>6489510.5339999991</v>
      </c>
      <c r="F662" s="304">
        <f t="shared" si="930"/>
        <v>6990773.5546739995</v>
      </c>
      <c r="G662" s="304">
        <f t="shared" si="930"/>
        <v>7574422.8542968435</v>
      </c>
      <c r="H662" s="304">
        <f t="shared" si="930"/>
        <v>8253644.4430338489</v>
      </c>
      <c r="I662" s="304">
        <f t="shared" si="930"/>
        <v>9046822.012152303</v>
      </c>
      <c r="J662" s="324"/>
    </row>
    <row r="663" spans="2:10" x14ac:dyDescent="0.2">
      <c r="B663" s="299" t="s">
        <v>320</v>
      </c>
      <c r="C663" s="306" t="s">
        <v>45</v>
      </c>
      <c r="D663" s="302">
        <f>+P169</f>
        <v>261.16000000000003</v>
      </c>
      <c r="E663" s="302">
        <f>+D663*(1+E664)*(1+E665)</f>
        <v>269.77828</v>
      </c>
      <c r="F663" s="302">
        <f>+E663*(1+F664)*(1+F665)</f>
        <v>279.49029808</v>
      </c>
      <c r="G663" s="302">
        <f>+F663*(1+G664)*(1+G665)</f>
        <v>291.22889059936</v>
      </c>
      <c r="H663" s="302">
        <f>+G663*(1+H664)*(1+H665)</f>
        <v>305.20787734812927</v>
      </c>
      <c r="I663" s="302">
        <f>+H663*(1+I664)*(1+I665)</f>
        <v>321.68910272492826</v>
      </c>
      <c r="J663" s="324"/>
    </row>
    <row r="664" spans="2:10" x14ac:dyDescent="0.2">
      <c r="B664" s="299" t="s">
        <v>318</v>
      </c>
      <c r="C664" s="306" t="s">
        <v>160</v>
      </c>
      <c r="D664" s="320"/>
      <c r="E664" s="321">
        <f>+$E$408</f>
        <v>3.3000000000000002E-2</v>
      </c>
      <c r="F664" s="321">
        <f>+$F$408</f>
        <v>3.5999999999999997E-2</v>
      </c>
      <c r="G664" s="321">
        <f>+$G$408</f>
        <v>4.2000000000000003E-2</v>
      </c>
      <c r="H664" s="321">
        <f>+$H$408</f>
        <v>4.8000000000000001E-2</v>
      </c>
      <c r="I664" s="321">
        <f>+$I$408</f>
        <v>5.3999999999999999E-2</v>
      </c>
      <c r="J664" s="324"/>
    </row>
    <row r="665" spans="2:10" x14ac:dyDescent="0.2">
      <c r="B665" s="299" t="s">
        <v>305</v>
      </c>
      <c r="C665" s="300"/>
      <c r="D665" s="320"/>
      <c r="E665" s="279">
        <v>0</v>
      </c>
      <c r="F665" s="279">
        <v>0</v>
      </c>
      <c r="G665" s="279">
        <v>0</v>
      </c>
      <c r="H665" s="279">
        <v>0</v>
      </c>
      <c r="I665" s="279">
        <v>0</v>
      </c>
      <c r="J665" s="324"/>
    </row>
    <row r="666" spans="2:10" ht="15" x14ac:dyDescent="0.25">
      <c r="B666" s="322" t="s">
        <v>317</v>
      </c>
      <c r="C666" s="306"/>
      <c r="D666" s="323">
        <f t="shared" ref="D666:I666" si="931">+D663*D658</f>
        <v>788682.30719999992</v>
      </c>
      <c r="E666" s="323">
        <f t="shared" si="931"/>
        <v>847103.79920000001</v>
      </c>
      <c r="F666" s="323">
        <f t="shared" si="931"/>
        <v>912535.82323119999</v>
      </c>
      <c r="G666" s="323">
        <f t="shared" si="931"/>
        <v>988722.08358482725</v>
      </c>
      <c r="H666" s="323">
        <f t="shared" si="931"/>
        <v>1077383.8070388963</v>
      </c>
      <c r="I666" s="323">
        <f t="shared" si="931"/>
        <v>1180920.6961032117</v>
      </c>
      <c r="J666" s="324"/>
    </row>
    <row r="667" spans="2:10" x14ac:dyDescent="0.2">
      <c r="B667" s="299" t="s">
        <v>321</v>
      </c>
      <c r="C667" s="306" t="s">
        <v>45</v>
      </c>
      <c r="D667" s="302">
        <f>+P171</f>
        <v>0</v>
      </c>
      <c r="E667" s="302">
        <f>+D667*(1+E668)*(1+E669)</f>
        <v>0</v>
      </c>
      <c r="F667" s="302">
        <f>+E667*(1+F668)*(1+F669)</f>
        <v>0</v>
      </c>
      <c r="G667" s="302">
        <f>+F667*(1+G668)*(1+G669)</f>
        <v>0</v>
      </c>
      <c r="H667" s="302">
        <f>+G667*(1+H668)*(1+H669)</f>
        <v>0</v>
      </c>
      <c r="I667" s="302">
        <f>+H667*(1+I668)*(1+I669)</f>
        <v>0</v>
      </c>
    </row>
    <row r="668" spans="2:10" x14ac:dyDescent="0.2">
      <c r="B668" s="299" t="s">
        <v>318</v>
      </c>
      <c r="C668" s="306" t="s">
        <v>160</v>
      </c>
      <c r="D668" s="320"/>
      <c r="E668" s="321">
        <f>+$E$408</f>
        <v>3.3000000000000002E-2</v>
      </c>
      <c r="F668" s="321">
        <f>+$F$408</f>
        <v>3.5999999999999997E-2</v>
      </c>
      <c r="G668" s="321">
        <f>+$G$408</f>
        <v>4.2000000000000003E-2</v>
      </c>
      <c r="H668" s="321">
        <f>+$H$408</f>
        <v>4.8000000000000001E-2</v>
      </c>
      <c r="I668" s="321">
        <f>+$I$408</f>
        <v>5.3999999999999999E-2</v>
      </c>
    </row>
    <row r="669" spans="2:10" x14ac:dyDescent="0.2">
      <c r="B669" s="299" t="s">
        <v>305</v>
      </c>
      <c r="C669" s="300"/>
      <c r="D669" s="320"/>
      <c r="E669" s="279">
        <v>0</v>
      </c>
      <c r="F669" s="279">
        <v>0</v>
      </c>
      <c r="G669" s="279">
        <v>0</v>
      </c>
      <c r="H669" s="279">
        <v>0</v>
      </c>
      <c r="I669" s="279">
        <v>0</v>
      </c>
    </row>
    <row r="670" spans="2:10" ht="15" x14ac:dyDescent="0.25">
      <c r="B670" s="322" t="s">
        <v>317</v>
      </c>
      <c r="C670" s="306"/>
      <c r="D670" s="323">
        <f t="shared" ref="D670:I670" si="932">+D667*D658</f>
        <v>0</v>
      </c>
      <c r="E670" s="323">
        <f t="shared" si="932"/>
        <v>0</v>
      </c>
      <c r="F670" s="323">
        <f t="shared" si="932"/>
        <v>0</v>
      </c>
      <c r="G670" s="323">
        <f t="shared" si="932"/>
        <v>0</v>
      </c>
      <c r="H670" s="323">
        <f t="shared" si="932"/>
        <v>0</v>
      </c>
      <c r="I670" s="323">
        <f t="shared" si="932"/>
        <v>0</v>
      </c>
    </row>
    <row r="671" spans="2:10" x14ac:dyDescent="0.2">
      <c r="B671" s="316" t="str">
        <f>+Ingresos!B541</f>
        <v>Pimenton</v>
      </c>
      <c r="C671" s="317"/>
      <c r="D671" s="318"/>
      <c r="E671" s="318"/>
      <c r="F671" s="318"/>
      <c r="G671" s="318"/>
      <c r="H671" s="318"/>
      <c r="I671" s="318"/>
      <c r="J671" s="324"/>
    </row>
    <row r="672" spans="2:10" x14ac:dyDescent="0.2">
      <c r="B672" s="299" t="s">
        <v>159</v>
      </c>
      <c r="C672" s="319"/>
      <c r="D672" s="302">
        <f>+P174</f>
        <v>3214.4399999999991</v>
      </c>
      <c r="E672" s="302">
        <f>+Ingresos!D542</f>
        <v>3343</v>
      </c>
      <c r="F672" s="302">
        <f>+Ingresos!E542</f>
        <v>3476</v>
      </c>
      <c r="G672" s="302">
        <f>+Ingresos!F542</f>
        <v>3615</v>
      </c>
      <c r="H672" s="302">
        <f>+Ingresos!G542</f>
        <v>3759</v>
      </c>
      <c r="I672" s="302">
        <f>+Ingresos!H542</f>
        <v>3909</v>
      </c>
      <c r="J672" s="324"/>
    </row>
    <row r="673" spans="2:10" x14ac:dyDescent="0.2">
      <c r="B673" s="299" t="s">
        <v>319</v>
      </c>
      <c r="C673" s="306" t="s">
        <v>45</v>
      </c>
      <c r="D673" s="302">
        <f>+P175</f>
        <v>2089.3989999999999</v>
      </c>
      <c r="E673" s="302">
        <f>+D673*(1+E674)*(1+E675)</f>
        <v>2158.3491669999999</v>
      </c>
      <c r="F673" s="302">
        <f>+E673*(1+F674)*(1+F675)</f>
        <v>2236.0497370119997</v>
      </c>
      <c r="G673" s="302">
        <f>+F673*(1+G674)*(1+G675)</f>
        <v>2329.9638259665039</v>
      </c>
      <c r="H673" s="302">
        <f>+G673*(1+H674)*(1+H675)</f>
        <v>2441.802089612896</v>
      </c>
      <c r="I673" s="302">
        <f>+H673*(1+I674)*(1+I675)</f>
        <v>2573.6594024519927</v>
      </c>
      <c r="J673" s="324"/>
    </row>
    <row r="674" spans="2:10" x14ac:dyDescent="0.2">
      <c r="B674" s="299" t="s">
        <v>318</v>
      </c>
      <c r="C674" s="306" t="s">
        <v>160</v>
      </c>
      <c r="D674" s="320"/>
      <c r="E674" s="321">
        <f>E660</f>
        <v>3.3000000000000002E-2</v>
      </c>
      <c r="F674" s="321">
        <f>F646</f>
        <v>3.5999999999999997E-2</v>
      </c>
      <c r="G674" s="321">
        <f>G646</f>
        <v>4.2000000000000003E-2</v>
      </c>
      <c r="H674" s="321">
        <f>H646</f>
        <v>4.8000000000000001E-2</v>
      </c>
      <c r="I674" s="321">
        <f>+$I$408</f>
        <v>5.3999999999999999E-2</v>
      </c>
      <c r="J674" s="324"/>
    </row>
    <row r="675" spans="2:10" x14ac:dyDescent="0.2">
      <c r="B675" s="299" t="s">
        <v>305</v>
      </c>
      <c r="C675" s="300"/>
      <c r="D675" s="320"/>
      <c r="E675" s="279">
        <v>0</v>
      </c>
      <c r="F675" s="279">
        <v>0</v>
      </c>
      <c r="G675" s="279">
        <v>0</v>
      </c>
      <c r="H675" s="279">
        <v>0</v>
      </c>
      <c r="I675" s="279">
        <v>0</v>
      </c>
      <c r="J675" s="324"/>
    </row>
    <row r="676" spans="2:10" ht="15" x14ac:dyDescent="0.25">
      <c r="B676" s="322" t="s">
        <v>317</v>
      </c>
      <c r="C676" s="306"/>
      <c r="D676" s="304">
        <f t="shared" ref="D676:I676" si="933">D672*D673</f>
        <v>6716247.7215599976</v>
      </c>
      <c r="E676" s="304">
        <f t="shared" si="933"/>
        <v>7215361.2652809992</v>
      </c>
      <c r="F676" s="304">
        <f t="shared" si="933"/>
        <v>7772508.8858537106</v>
      </c>
      <c r="G676" s="304">
        <f t="shared" si="933"/>
        <v>8422819.2308689114</v>
      </c>
      <c r="H676" s="304">
        <f t="shared" si="933"/>
        <v>9178734.0548548754</v>
      </c>
      <c r="I676" s="304">
        <f t="shared" si="933"/>
        <v>10060434.60418484</v>
      </c>
      <c r="J676" s="324"/>
    </row>
    <row r="677" spans="2:10" x14ac:dyDescent="0.2">
      <c r="B677" s="299" t="s">
        <v>320</v>
      </c>
      <c r="C677" s="306" t="s">
        <v>45</v>
      </c>
      <c r="D677" s="302">
        <f>+P177</f>
        <v>276.33</v>
      </c>
      <c r="E677" s="302">
        <f>+D677*(1+E678)*(1+E679)</f>
        <v>285.44888999999995</v>
      </c>
      <c r="F677" s="302">
        <f>+E677*(1+F678)*(1+F679)</f>
        <v>295.72505003999993</v>
      </c>
      <c r="G677" s="302">
        <f>+F677*(1+G678)*(1+G679)</f>
        <v>308.14550214167991</v>
      </c>
      <c r="H677" s="302">
        <f>+G677*(1+H678)*(1+H679)</f>
        <v>322.93648624448053</v>
      </c>
      <c r="I677" s="302">
        <f>+H677*(1+I678)*(1+I679)</f>
        <v>340.37505650168248</v>
      </c>
      <c r="J677" s="324"/>
    </row>
    <row r="678" spans="2:10" x14ac:dyDescent="0.2">
      <c r="B678" s="299" t="s">
        <v>318</v>
      </c>
      <c r="C678" s="306" t="s">
        <v>160</v>
      </c>
      <c r="D678" s="320"/>
      <c r="E678" s="321">
        <f>+$E$408</f>
        <v>3.3000000000000002E-2</v>
      </c>
      <c r="F678" s="321">
        <f>+$F$408</f>
        <v>3.5999999999999997E-2</v>
      </c>
      <c r="G678" s="321">
        <f>+$G$408</f>
        <v>4.2000000000000003E-2</v>
      </c>
      <c r="H678" s="321">
        <f>+$H$408</f>
        <v>4.8000000000000001E-2</v>
      </c>
      <c r="I678" s="321">
        <f>+$I$408</f>
        <v>5.3999999999999999E-2</v>
      </c>
      <c r="J678" s="324"/>
    </row>
    <row r="679" spans="2:10" x14ac:dyDescent="0.2">
      <c r="B679" s="299" t="s">
        <v>305</v>
      </c>
      <c r="C679" s="300"/>
      <c r="D679" s="320"/>
      <c r="E679" s="279">
        <v>0</v>
      </c>
      <c r="F679" s="279">
        <v>0</v>
      </c>
      <c r="G679" s="279">
        <v>0</v>
      </c>
      <c r="H679" s="279">
        <v>0</v>
      </c>
      <c r="I679" s="279">
        <v>0</v>
      </c>
      <c r="J679" s="324"/>
    </row>
    <row r="680" spans="2:10" ht="15" x14ac:dyDescent="0.25">
      <c r="B680" s="322" t="s">
        <v>317</v>
      </c>
      <c r="C680" s="306"/>
      <c r="D680" s="323">
        <f t="shared" ref="D680:I680" si="934">+D677*D672</f>
        <v>888246.20519999973</v>
      </c>
      <c r="E680" s="323">
        <f t="shared" si="934"/>
        <v>954255.63926999981</v>
      </c>
      <c r="F680" s="323">
        <f t="shared" si="934"/>
        <v>1027940.2739390398</v>
      </c>
      <c r="G680" s="323">
        <f t="shared" si="934"/>
        <v>1113945.990242173</v>
      </c>
      <c r="H680" s="323">
        <f t="shared" si="934"/>
        <v>1213918.2517930022</v>
      </c>
      <c r="I680" s="323">
        <f t="shared" si="934"/>
        <v>1330526.0958650769</v>
      </c>
      <c r="J680" s="324"/>
    </row>
    <row r="681" spans="2:10" x14ac:dyDescent="0.2">
      <c r="B681" s="299" t="s">
        <v>321</v>
      </c>
      <c r="C681" s="306" t="s">
        <v>45</v>
      </c>
      <c r="D681" s="302">
        <f>+P179</f>
        <v>0</v>
      </c>
      <c r="E681" s="302">
        <f>+D681*(1+E682)*(1+E683)</f>
        <v>0</v>
      </c>
      <c r="F681" s="302">
        <f>+E681*(1+F682)*(1+F683)</f>
        <v>0</v>
      </c>
      <c r="G681" s="302">
        <f>+F681*(1+G682)*(1+G683)</f>
        <v>0</v>
      </c>
      <c r="H681" s="302">
        <f>+G681*(1+H682)*(1+H683)</f>
        <v>0</v>
      </c>
      <c r="I681" s="302">
        <f>+H681*(1+I682)*(1+I683)</f>
        <v>0</v>
      </c>
    </row>
    <row r="682" spans="2:10" x14ac:dyDescent="0.2">
      <c r="B682" s="299" t="s">
        <v>318</v>
      </c>
      <c r="C682" s="306" t="s">
        <v>160</v>
      </c>
      <c r="D682" s="320"/>
      <c r="E682" s="321">
        <f>+$E$408</f>
        <v>3.3000000000000002E-2</v>
      </c>
      <c r="F682" s="321">
        <f>+$F$408</f>
        <v>3.5999999999999997E-2</v>
      </c>
      <c r="G682" s="321">
        <f>+$G$408</f>
        <v>4.2000000000000003E-2</v>
      </c>
      <c r="H682" s="321">
        <f>+$H$408</f>
        <v>4.8000000000000001E-2</v>
      </c>
      <c r="I682" s="321">
        <f>+$I$408</f>
        <v>5.3999999999999999E-2</v>
      </c>
    </row>
    <row r="683" spans="2:10" x14ac:dyDescent="0.2">
      <c r="B683" s="299" t="s">
        <v>305</v>
      </c>
      <c r="C683" s="300"/>
      <c r="D683" s="320"/>
      <c r="E683" s="279">
        <v>0</v>
      </c>
      <c r="F683" s="279">
        <v>0</v>
      </c>
      <c r="G683" s="279">
        <v>0</v>
      </c>
      <c r="H683" s="279">
        <v>0</v>
      </c>
      <c r="I683" s="279">
        <v>0</v>
      </c>
    </row>
    <row r="684" spans="2:10" ht="15" x14ac:dyDescent="0.25">
      <c r="B684" s="322" t="s">
        <v>317</v>
      </c>
      <c r="C684" s="306"/>
      <c r="D684" s="323">
        <f t="shared" ref="D684:I684" si="935">+D681*D672</f>
        <v>0</v>
      </c>
      <c r="E684" s="323">
        <f t="shared" si="935"/>
        <v>0</v>
      </c>
      <c r="F684" s="323">
        <f t="shared" si="935"/>
        <v>0</v>
      </c>
      <c r="G684" s="323">
        <f t="shared" si="935"/>
        <v>0</v>
      </c>
      <c r="H684" s="323">
        <f t="shared" si="935"/>
        <v>0</v>
      </c>
      <c r="I684" s="323">
        <f t="shared" si="935"/>
        <v>0</v>
      </c>
    </row>
    <row r="685" spans="2:10" x14ac:dyDescent="0.2">
      <c r="B685" s="316" t="str">
        <f>+Ingresos!B549</f>
        <v>Plátano Hartón</v>
      </c>
      <c r="C685" s="317"/>
      <c r="D685" s="318"/>
      <c r="E685" s="318"/>
      <c r="F685" s="318"/>
      <c r="G685" s="318"/>
      <c r="H685" s="318"/>
      <c r="I685" s="318"/>
      <c r="J685" s="324"/>
    </row>
    <row r="686" spans="2:10" x14ac:dyDescent="0.2">
      <c r="B686" s="299" t="s">
        <v>159</v>
      </c>
      <c r="C686" s="319"/>
      <c r="D686" s="302">
        <f>+P182</f>
        <v>144522</v>
      </c>
      <c r="E686" s="302">
        <f>+Ingresos!D550</f>
        <v>150302</v>
      </c>
      <c r="F686" s="302">
        <f>+Ingresos!E550</f>
        <v>156314</v>
      </c>
      <c r="G686" s="302">
        <f>+Ingresos!F550</f>
        <v>162566</v>
      </c>
      <c r="H686" s="302">
        <f>+Ingresos!G550</f>
        <v>169068</v>
      </c>
      <c r="I686" s="302">
        <f>+Ingresos!H550</f>
        <v>175830</v>
      </c>
      <c r="J686" s="324"/>
    </row>
    <row r="687" spans="2:10" x14ac:dyDescent="0.2">
      <c r="B687" s="299" t="s">
        <v>319</v>
      </c>
      <c r="C687" s="306" t="s">
        <v>45</v>
      </c>
      <c r="D687" s="302">
        <f>+P183</f>
        <v>978.34100000000012</v>
      </c>
      <c r="E687" s="302">
        <f>+D687*(1+E688)*(1+E689)</f>
        <v>1010.626253</v>
      </c>
      <c r="F687" s="302">
        <f>+E687*(1+F688)*(1+F689)</f>
        <v>1047.0087981080001</v>
      </c>
      <c r="G687" s="302">
        <f>+F687*(1+G688)*(1+G689)</f>
        <v>1090.9831676285362</v>
      </c>
      <c r="H687" s="302">
        <f>+G687*(1+H688)*(1+H689)</f>
        <v>1143.3503596747059</v>
      </c>
      <c r="I687" s="302">
        <f>+H687*(1+I688)*(1+I689)</f>
        <v>1205.0912790971402</v>
      </c>
      <c r="J687" s="324"/>
    </row>
    <row r="688" spans="2:10" x14ac:dyDescent="0.2">
      <c r="B688" s="299" t="s">
        <v>318</v>
      </c>
      <c r="C688" s="306" t="s">
        <v>160</v>
      </c>
      <c r="D688" s="320"/>
      <c r="E688" s="321">
        <f>E674</f>
        <v>3.3000000000000002E-2</v>
      </c>
      <c r="F688" s="321">
        <f>F660</f>
        <v>3.5999999999999997E-2</v>
      </c>
      <c r="G688" s="321">
        <f>G660</f>
        <v>4.2000000000000003E-2</v>
      </c>
      <c r="H688" s="321">
        <f>H660</f>
        <v>4.8000000000000001E-2</v>
      </c>
      <c r="I688" s="321">
        <f>+$I$408</f>
        <v>5.3999999999999999E-2</v>
      </c>
      <c r="J688" s="324"/>
    </row>
    <row r="689" spans="2:10" x14ac:dyDescent="0.2">
      <c r="B689" s="299" t="s">
        <v>305</v>
      </c>
      <c r="C689" s="300"/>
      <c r="D689" s="320"/>
      <c r="E689" s="279">
        <v>0</v>
      </c>
      <c r="F689" s="279">
        <v>0</v>
      </c>
      <c r="G689" s="279">
        <v>0</v>
      </c>
      <c r="H689" s="279">
        <v>0</v>
      </c>
      <c r="I689" s="279">
        <v>0</v>
      </c>
      <c r="J689" s="324"/>
    </row>
    <row r="690" spans="2:10" ht="15" x14ac:dyDescent="0.25">
      <c r="B690" s="322" t="s">
        <v>317</v>
      </c>
      <c r="C690" s="306"/>
      <c r="D690" s="304">
        <f t="shared" ref="D690:I690" si="936">D686*D687</f>
        <v>141391798.002</v>
      </c>
      <c r="E690" s="304">
        <f t="shared" si="936"/>
        <v>151899147.07840601</v>
      </c>
      <c r="F690" s="304">
        <f t="shared" si="936"/>
        <v>163662133.26745391</v>
      </c>
      <c r="G690" s="304">
        <f t="shared" si="936"/>
        <v>177356769.62870061</v>
      </c>
      <c r="H690" s="304">
        <f t="shared" si="936"/>
        <v>193303958.60948318</v>
      </c>
      <c r="I690" s="304">
        <f t="shared" si="936"/>
        <v>211891199.60365015</v>
      </c>
      <c r="J690" s="324"/>
    </row>
    <row r="691" spans="2:10" x14ac:dyDescent="0.2">
      <c r="B691" s="299" t="s">
        <v>320</v>
      </c>
      <c r="C691" s="306" t="s">
        <v>45</v>
      </c>
      <c r="D691" s="302">
        <f>+P185</f>
        <v>28.66</v>
      </c>
      <c r="E691" s="302">
        <f>+D691*(1+E692)*(1+E693)</f>
        <v>29.605779999999999</v>
      </c>
      <c r="F691" s="302">
        <f>+E691*(1+F692)*(1+F693)</f>
        <v>30.671588079999999</v>
      </c>
      <c r="G691" s="302">
        <f>+F691*(1+G692)*(1+G693)</f>
        <v>31.959794779359999</v>
      </c>
      <c r="H691" s="302">
        <f>+G691*(1+H692)*(1+H693)</f>
        <v>33.493864928769284</v>
      </c>
      <c r="I691" s="302">
        <f>+H691*(1+I692)*(1+I693)</f>
        <v>35.302533634922824</v>
      </c>
      <c r="J691" s="324"/>
    </row>
    <row r="692" spans="2:10" x14ac:dyDescent="0.2">
      <c r="B692" s="299" t="s">
        <v>318</v>
      </c>
      <c r="C692" s="306" t="s">
        <v>160</v>
      </c>
      <c r="D692" s="320"/>
      <c r="E692" s="321">
        <f>+$E$408</f>
        <v>3.3000000000000002E-2</v>
      </c>
      <c r="F692" s="321">
        <f>+$F$408</f>
        <v>3.5999999999999997E-2</v>
      </c>
      <c r="G692" s="321">
        <f>+$G$408</f>
        <v>4.2000000000000003E-2</v>
      </c>
      <c r="H692" s="321">
        <f>+$H$408</f>
        <v>4.8000000000000001E-2</v>
      </c>
      <c r="I692" s="321">
        <f>+$I$408</f>
        <v>5.3999999999999999E-2</v>
      </c>
      <c r="J692" s="324"/>
    </row>
    <row r="693" spans="2:10" x14ac:dyDescent="0.2">
      <c r="B693" s="299" t="s">
        <v>305</v>
      </c>
      <c r="C693" s="300"/>
      <c r="D693" s="320"/>
      <c r="E693" s="279">
        <v>0</v>
      </c>
      <c r="F693" s="279">
        <v>0</v>
      </c>
      <c r="G693" s="279">
        <v>0</v>
      </c>
      <c r="H693" s="279">
        <v>0</v>
      </c>
      <c r="I693" s="279">
        <v>0</v>
      </c>
      <c r="J693" s="324"/>
    </row>
    <row r="694" spans="2:10" ht="15" x14ac:dyDescent="0.25">
      <c r="B694" s="322" t="s">
        <v>317</v>
      </c>
      <c r="C694" s="306"/>
      <c r="D694" s="323">
        <f t="shared" ref="D694:I694" si="937">+D691*D686</f>
        <v>4142000.52</v>
      </c>
      <c r="E694" s="323">
        <f t="shared" si="937"/>
        <v>4449807.9455599999</v>
      </c>
      <c r="F694" s="323">
        <f t="shared" si="937"/>
        <v>4794398.6191371195</v>
      </c>
      <c r="G694" s="323">
        <f t="shared" si="937"/>
        <v>5195575.9981014375</v>
      </c>
      <c r="H694" s="323">
        <f t="shared" si="937"/>
        <v>5662740.7557771653</v>
      </c>
      <c r="I694" s="323">
        <f t="shared" si="937"/>
        <v>6207244.4890284799</v>
      </c>
      <c r="J694" s="324"/>
    </row>
    <row r="695" spans="2:10" x14ac:dyDescent="0.2">
      <c r="B695" s="299" t="s">
        <v>321</v>
      </c>
      <c r="C695" s="306" t="s">
        <v>45</v>
      </c>
      <c r="D695" s="302">
        <f>+P187</f>
        <v>0</v>
      </c>
      <c r="E695" s="302">
        <f>+D695*(1+E696)*(1+E697)</f>
        <v>0</v>
      </c>
      <c r="F695" s="302">
        <f>+E695*(1+F696)*(1+F697)</f>
        <v>0</v>
      </c>
      <c r="G695" s="302">
        <f>+F695*(1+G696)*(1+G697)</f>
        <v>0</v>
      </c>
      <c r="H695" s="302">
        <f>+G695*(1+H696)*(1+H697)</f>
        <v>0</v>
      </c>
      <c r="I695" s="302">
        <f>+H695*(1+I696)*(1+I697)</f>
        <v>0</v>
      </c>
    </row>
    <row r="696" spans="2:10" x14ac:dyDescent="0.2">
      <c r="B696" s="299" t="s">
        <v>318</v>
      </c>
      <c r="C696" s="306" t="s">
        <v>160</v>
      </c>
      <c r="D696" s="320"/>
      <c r="E696" s="321">
        <f>+$E$408</f>
        <v>3.3000000000000002E-2</v>
      </c>
      <c r="F696" s="321">
        <f>+$F$408</f>
        <v>3.5999999999999997E-2</v>
      </c>
      <c r="G696" s="321">
        <f>+$G$408</f>
        <v>4.2000000000000003E-2</v>
      </c>
      <c r="H696" s="321">
        <f>+$H$408</f>
        <v>4.8000000000000001E-2</v>
      </c>
      <c r="I696" s="321">
        <f>+$I$408</f>
        <v>5.3999999999999999E-2</v>
      </c>
    </row>
    <row r="697" spans="2:10" x14ac:dyDescent="0.2">
      <c r="B697" s="299" t="s">
        <v>305</v>
      </c>
      <c r="C697" s="300"/>
      <c r="D697" s="320"/>
      <c r="E697" s="279">
        <v>0</v>
      </c>
      <c r="F697" s="279">
        <v>0</v>
      </c>
      <c r="G697" s="279">
        <v>0</v>
      </c>
      <c r="H697" s="279">
        <v>0</v>
      </c>
      <c r="I697" s="279">
        <v>0</v>
      </c>
    </row>
    <row r="698" spans="2:10" ht="15" x14ac:dyDescent="0.25">
      <c r="B698" s="322" t="s">
        <v>317</v>
      </c>
      <c r="C698" s="306"/>
      <c r="D698" s="323">
        <f t="shared" ref="D698:I698" si="938">+D695*D686</f>
        <v>0</v>
      </c>
      <c r="E698" s="323">
        <f t="shared" si="938"/>
        <v>0</v>
      </c>
      <c r="F698" s="323">
        <f t="shared" si="938"/>
        <v>0</v>
      </c>
      <c r="G698" s="323">
        <f t="shared" si="938"/>
        <v>0</v>
      </c>
      <c r="H698" s="323">
        <f t="shared" si="938"/>
        <v>0</v>
      </c>
      <c r="I698" s="323">
        <f t="shared" si="938"/>
        <v>0</v>
      </c>
    </row>
    <row r="699" spans="2:10" x14ac:dyDescent="0.2">
      <c r="B699" s="316" t="str">
        <f>+Ingresos!B557</f>
        <v>Remolacha</v>
      </c>
      <c r="C699" s="317"/>
      <c r="D699" s="318"/>
      <c r="E699" s="318"/>
      <c r="F699" s="318"/>
      <c r="G699" s="318"/>
      <c r="H699" s="318"/>
      <c r="I699" s="318"/>
      <c r="J699" s="324"/>
    </row>
    <row r="700" spans="2:10" x14ac:dyDescent="0.2">
      <c r="B700" s="299" t="s">
        <v>159</v>
      </c>
      <c r="C700" s="319"/>
      <c r="D700" s="302">
        <f>+P190</f>
        <v>1870.0799999999997</v>
      </c>
      <c r="E700" s="302">
        <f>+Ingresos!D558</f>
        <v>1944</v>
      </c>
      <c r="F700" s="302">
        <f>+Ingresos!E558</f>
        <v>2021</v>
      </c>
      <c r="G700" s="302">
        <f>+Ingresos!F558</f>
        <v>2101</v>
      </c>
      <c r="H700" s="302">
        <f>+Ingresos!G558</f>
        <v>2185</v>
      </c>
      <c r="I700" s="302">
        <f>+Ingresos!H558</f>
        <v>2272</v>
      </c>
      <c r="J700" s="324"/>
    </row>
    <row r="701" spans="2:10" x14ac:dyDescent="0.2">
      <c r="B701" s="299" t="s">
        <v>319</v>
      </c>
      <c r="C701" s="306" t="s">
        <v>45</v>
      </c>
      <c r="D701" s="302">
        <f>+P191</f>
        <v>933.66000000000008</v>
      </c>
      <c r="E701" s="302">
        <f>+D701*(1+E702)*(1+E703)</f>
        <v>964.47077999999999</v>
      </c>
      <c r="F701" s="302">
        <f>+E701*(1+F702)*(1+F703)</f>
        <v>999.19172808000008</v>
      </c>
      <c r="G701" s="302">
        <f>+F701*(1+G702)*(1+G703)</f>
        <v>1041.15778065936</v>
      </c>
      <c r="H701" s="302">
        <f>+G701*(1+H702)*(1+H703)</f>
        <v>1091.1333541310094</v>
      </c>
      <c r="I701" s="302">
        <f>+H701*(1+I702)*(1+I703)</f>
        <v>1150.0545552540839</v>
      </c>
      <c r="J701" s="324"/>
    </row>
    <row r="702" spans="2:10" x14ac:dyDescent="0.2">
      <c r="B702" s="299" t="s">
        <v>318</v>
      </c>
      <c r="C702" s="306" t="s">
        <v>160</v>
      </c>
      <c r="D702" s="320"/>
      <c r="E702" s="321">
        <f>E688</f>
        <v>3.3000000000000002E-2</v>
      </c>
      <c r="F702" s="321">
        <f>F674</f>
        <v>3.5999999999999997E-2</v>
      </c>
      <c r="G702" s="321">
        <f>G674</f>
        <v>4.2000000000000003E-2</v>
      </c>
      <c r="H702" s="321">
        <f>H674</f>
        <v>4.8000000000000001E-2</v>
      </c>
      <c r="I702" s="321">
        <f>+$I$408</f>
        <v>5.3999999999999999E-2</v>
      </c>
      <c r="J702" s="324"/>
    </row>
    <row r="703" spans="2:10" x14ac:dyDescent="0.2">
      <c r="B703" s="299" t="s">
        <v>305</v>
      </c>
      <c r="C703" s="300"/>
      <c r="D703" s="320"/>
      <c r="E703" s="279">
        <v>0</v>
      </c>
      <c r="F703" s="279">
        <v>0</v>
      </c>
      <c r="G703" s="279">
        <v>0</v>
      </c>
      <c r="H703" s="279">
        <v>0</v>
      </c>
      <c r="I703" s="279">
        <v>0</v>
      </c>
      <c r="J703" s="324"/>
    </row>
    <row r="704" spans="2:10" ht="15" x14ac:dyDescent="0.25">
      <c r="B704" s="322" t="s">
        <v>317</v>
      </c>
      <c r="C704" s="306"/>
      <c r="D704" s="304">
        <f t="shared" ref="D704:I704" si="939">D700*D701</f>
        <v>1746018.8927999998</v>
      </c>
      <c r="E704" s="304">
        <f t="shared" si="939"/>
        <v>1874931.1963199999</v>
      </c>
      <c r="F704" s="304">
        <f t="shared" si="939"/>
        <v>2019366.4824496801</v>
      </c>
      <c r="G704" s="304">
        <f t="shared" si="939"/>
        <v>2187472.4971653153</v>
      </c>
      <c r="H704" s="304">
        <f t="shared" si="939"/>
        <v>2384126.3787762555</v>
      </c>
      <c r="I704" s="304">
        <f t="shared" si="939"/>
        <v>2612923.9495372786</v>
      </c>
      <c r="J704" s="324"/>
    </row>
    <row r="705" spans="2:10" x14ac:dyDescent="0.2">
      <c r="B705" s="299" t="s">
        <v>320</v>
      </c>
      <c r="C705" s="306" t="s">
        <v>45</v>
      </c>
      <c r="D705" s="302">
        <f>+P193</f>
        <v>78.66</v>
      </c>
      <c r="E705" s="302">
        <f>+D705*(1+E706)*(1+E707)</f>
        <v>81.255779999999987</v>
      </c>
      <c r="F705" s="302">
        <f>+E705*(1+F706)*(1+F707)</f>
        <v>84.180988079999992</v>
      </c>
      <c r="G705" s="302">
        <f>+F705*(1+G706)*(1+G707)</f>
        <v>87.71658957935999</v>
      </c>
      <c r="H705" s="302">
        <f>+G705*(1+H706)*(1+H707)</f>
        <v>91.92698587916928</v>
      </c>
      <c r="I705" s="302">
        <f>+H705*(1+I706)*(1+I707)</f>
        <v>96.891043116644425</v>
      </c>
      <c r="J705" s="324"/>
    </row>
    <row r="706" spans="2:10" x14ac:dyDescent="0.2">
      <c r="B706" s="299" t="s">
        <v>318</v>
      </c>
      <c r="C706" s="306" t="s">
        <v>160</v>
      </c>
      <c r="D706" s="320"/>
      <c r="E706" s="321">
        <f>+$E$408</f>
        <v>3.3000000000000002E-2</v>
      </c>
      <c r="F706" s="321">
        <f>+$F$408</f>
        <v>3.5999999999999997E-2</v>
      </c>
      <c r="G706" s="321">
        <f>+$G$408</f>
        <v>4.2000000000000003E-2</v>
      </c>
      <c r="H706" s="321">
        <f>+$H$408</f>
        <v>4.8000000000000001E-2</v>
      </c>
      <c r="I706" s="321">
        <f>+$I$408</f>
        <v>5.3999999999999999E-2</v>
      </c>
      <c r="J706" s="324"/>
    </row>
    <row r="707" spans="2:10" x14ac:dyDescent="0.2">
      <c r="B707" s="299" t="s">
        <v>305</v>
      </c>
      <c r="C707" s="300"/>
      <c r="D707" s="320"/>
      <c r="E707" s="279">
        <v>0</v>
      </c>
      <c r="F707" s="279">
        <v>0</v>
      </c>
      <c r="G707" s="279">
        <v>0</v>
      </c>
      <c r="H707" s="279">
        <v>0</v>
      </c>
      <c r="I707" s="279">
        <v>0</v>
      </c>
      <c r="J707" s="324"/>
    </row>
    <row r="708" spans="2:10" ht="15" x14ac:dyDescent="0.25">
      <c r="B708" s="322" t="s">
        <v>317</v>
      </c>
      <c r="C708" s="306"/>
      <c r="D708" s="323">
        <f t="shared" ref="D708:I708" si="940">+D705*D700</f>
        <v>147100.49279999998</v>
      </c>
      <c r="E708" s="323">
        <f t="shared" si="940"/>
        <v>157961.23631999997</v>
      </c>
      <c r="F708" s="323">
        <f t="shared" si="940"/>
        <v>170129.77690967999</v>
      </c>
      <c r="G708" s="323">
        <f t="shared" si="940"/>
        <v>184292.55470623533</v>
      </c>
      <c r="H708" s="323">
        <f t="shared" si="940"/>
        <v>200860.46414598488</v>
      </c>
      <c r="I708" s="323">
        <f t="shared" si="940"/>
        <v>220136.44996101613</v>
      </c>
      <c r="J708" s="324"/>
    </row>
    <row r="709" spans="2:10" x14ac:dyDescent="0.2">
      <c r="B709" s="299" t="s">
        <v>321</v>
      </c>
      <c r="C709" s="306" t="s">
        <v>45</v>
      </c>
      <c r="D709" s="302">
        <f>+P195</f>
        <v>0</v>
      </c>
      <c r="E709" s="302">
        <f>+D709*(1+E710)*(1+E711)</f>
        <v>0</v>
      </c>
      <c r="F709" s="302">
        <f>+E709*(1+F710)*(1+F711)</f>
        <v>0</v>
      </c>
      <c r="G709" s="302">
        <f>+F709*(1+G710)*(1+G711)</f>
        <v>0</v>
      </c>
      <c r="H709" s="302">
        <f>+G709*(1+H710)*(1+H711)</f>
        <v>0</v>
      </c>
      <c r="I709" s="302">
        <f>+H709*(1+I710)*(1+I711)</f>
        <v>0</v>
      </c>
    </row>
    <row r="710" spans="2:10" x14ac:dyDescent="0.2">
      <c r="B710" s="299" t="s">
        <v>318</v>
      </c>
      <c r="C710" s="306" t="s">
        <v>160</v>
      </c>
      <c r="D710" s="320"/>
      <c r="E710" s="321">
        <f>+$E$408</f>
        <v>3.3000000000000002E-2</v>
      </c>
      <c r="F710" s="321">
        <f>+$F$408</f>
        <v>3.5999999999999997E-2</v>
      </c>
      <c r="G710" s="321">
        <f>+$G$408</f>
        <v>4.2000000000000003E-2</v>
      </c>
      <c r="H710" s="321">
        <f>+$H$408</f>
        <v>4.8000000000000001E-2</v>
      </c>
      <c r="I710" s="321">
        <f>+$I$408</f>
        <v>5.3999999999999999E-2</v>
      </c>
    </row>
    <row r="711" spans="2:10" x14ac:dyDescent="0.2">
      <c r="B711" s="299" t="s">
        <v>305</v>
      </c>
      <c r="C711" s="300"/>
      <c r="D711" s="320"/>
      <c r="E711" s="279">
        <v>0</v>
      </c>
      <c r="F711" s="279">
        <v>0</v>
      </c>
      <c r="G711" s="279">
        <v>0</v>
      </c>
      <c r="H711" s="279">
        <v>0</v>
      </c>
      <c r="I711" s="279">
        <v>0</v>
      </c>
    </row>
    <row r="712" spans="2:10" ht="15" x14ac:dyDescent="0.25">
      <c r="B712" s="322" t="s">
        <v>317</v>
      </c>
      <c r="C712" s="306"/>
      <c r="D712" s="323">
        <f t="shared" ref="D712:I712" si="941">+D709*D700</f>
        <v>0</v>
      </c>
      <c r="E712" s="323">
        <f t="shared" si="941"/>
        <v>0</v>
      </c>
      <c r="F712" s="323">
        <f t="shared" si="941"/>
        <v>0</v>
      </c>
      <c r="G712" s="323">
        <f t="shared" si="941"/>
        <v>0</v>
      </c>
      <c r="H712" s="323">
        <f t="shared" si="941"/>
        <v>0</v>
      </c>
      <c r="I712" s="323">
        <f t="shared" si="941"/>
        <v>0</v>
      </c>
    </row>
    <row r="713" spans="2:10" x14ac:dyDescent="0.2">
      <c r="B713" s="316" t="str">
        <f>+Ingresos!B565</f>
        <v>Tomate chonto regional</v>
      </c>
      <c r="C713" s="317"/>
      <c r="D713" s="318"/>
      <c r="E713" s="318"/>
      <c r="F713" s="318"/>
      <c r="G713" s="318"/>
      <c r="H713" s="318"/>
      <c r="I713" s="318"/>
      <c r="J713" s="324"/>
    </row>
    <row r="714" spans="2:10" x14ac:dyDescent="0.2">
      <c r="B714" s="299" t="s">
        <v>159</v>
      </c>
      <c r="C714" s="319"/>
      <c r="D714" s="302">
        <f>+P198</f>
        <v>36616.92</v>
      </c>
      <c r="E714" s="302">
        <f>+Ingresos!D574</f>
        <v>6281</v>
      </c>
      <c r="F714" s="302">
        <f>+Ingresos!E574</f>
        <v>6532</v>
      </c>
      <c r="G714" s="302">
        <f>+Ingresos!F574</f>
        <v>6793</v>
      </c>
      <c r="H714" s="302">
        <f>+Ingresos!G574</f>
        <v>7064</v>
      </c>
      <c r="I714" s="302">
        <f>+Ingresos!H574</f>
        <v>7346</v>
      </c>
      <c r="J714" s="324"/>
    </row>
    <row r="715" spans="2:10" x14ac:dyDescent="0.2">
      <c r="B715" s="299" t="s">
        <v>319</v>
      </c>
      <c r="C715" s="306" t="s">
        <v>45</v>
      </c>
      <c r="D715" s="302">
        <f>+P53</f>
        <v>0</v>
      </c>
      <c r="E715" s="302">
        <f>+D715*(1+E716)*(1+E717)</f>
        <v>0</v>
      </c>
      <c r="F715" s="302">
        <f>+E715*(1+F716)*(1+F717)</f>
        <v>0</v>
      </c>
      <c r="G715" s="302">
        <f>+F715*(1+G716)*(1+G717)</f>
        <v>0</v>
      </c>
      <c r="H715" s="302">
        <f>+G715*(1+H716)*(1+H717)</f>
        <v>0</v>
      </c>
      <c r="I715" s="302">
        <f>+H715*(1+I716)*(1+I717)</f>
        <v>0</v>
      </c>
      <c r="J715" s="324"/>
    </row>
    <row r="716" spans="2:10" x14ac:dyDescent="0.2">
      <c r="B716" s="299" t="s">
        <v>318</v>
      </c>
      <c r="C716" s="306" t="s">
        <v>160</v>
      </c>
      <c r="D716" s="320"/>
      <c r="E716" s="321">
        <f>E702</f>
        <v>3.3000000000000002E-2</v>
      </c>
      <c r="F716" s="321">
        <f>F366</f>
        <v>329.1</v>
      </c>
      <c r="G716" s="321">
        <f>G366</f>
        <v>329.1</v>
      </c>
      <c r="H716" s="321">
        <f>H366</f>
        <v>329.1</v>
      </c>
      <c r="I716" s="321">
        <f>+$I$408</f>
        <v>5.3999999999999999E-2</v>
      </c>
      <c r="J716" s="324"/>
    </row>
    <row r="717" spans="2:10" x14ac:dyDescent="0.2">
      <c r="B717" s="299" t="s">
        <v>305</v>
      </c>
      <c r="C717" s="300"/>
      <c r="D717" s="320"/>
      <c r="E717" s="279">
        <v>0</v>
      </c>
      <c r="F717" s="279">
        <v>0</v>
      </c>
      <c r="G717" s="279">
        <v>0</v>
      </c>
      <c r="H717" s="279">
        <v>0</v>
      </c>
      <c r="I717" s="279">
        <v>0</v>
      </c>
      <c r="J717" s="324"/>
    </row>
    <row r="718" spans="2:10" ht="15" x14ac:dyDescent="0.25">
      <c r="B718" s="322" t="s">
        <v>317</v>
      </c>
      <c r="C718" s="306"/>
      <c r="D718" s="304">
        <f t="shared" ref="D718:I718" si="942">D714*D715</f>
        <v>0</v>
      </c>
      <c r="E718" s="304">
        <f t="shared" si="942"/>
        <v>0</v>
      </c>
      <c r="F718" s="304">
        <f t="shared" si="942"/>
        <v>0</v>
      </c>
      <c r="G718" s="304">
        <f t="shared" si="942"/>
        <v>0</v>
      </c>
      <c r="H718" s="304">
        <f t="shared" si="942"/>
        <v>0</v>
      </c>
      <c r="I718" s="304">
        <f t="shared" si="942"/>
        <v>0</v>
      </c>
      <c r="J718" s="324"/>
    </row>
    <row r="719" spans="2:10" x14ac:dyDescent="0.2">
      <c r="B719" s="299" t="s">
        <v>320</v>
      </c>
      <c r="C719" s="306" t="s">
        <v>45</v>
      </c>
      <c r="D719" s="302">
        <f>+P55</f>
        <v>4556.9290000000001</v>
      </c>
      <c r="E719" s="302">
        <f>+D719*(1+E720)*(1+E721)</f>
        <v>4707.3076569999994</v>
      </c>
      <c r="F719" s="302">
        <f>+E719*(1+F720)*(1+F721)</f>
        <v>4876.7707326519994</v>
      </c>
      <c r="G719" s="302">
        <f>+F719*(1+G720)*(1+G721)</f>
        <v>5081.595103423384</v>
      </c>
      <c r="H719" s="302">
        <f>+G719*(1+H720)*(1+H721)</f>
        <v>5325.5116683877068</v>
      </c>
      <c r="I719" s="302">
        <f>+H719*(1+I720)*(1+I721)</f>
        <v>5613.0892984806433</v>
      </c>
      <c r="J719" s="324"/>
    </row>
    <row r="720" spans="2:10" x14ac:dyDescent="0.2">
      <c r="B720" s="299" t="s">
        <v>318</v>
      </c>
      <c r="C720" s="306" t="s">
        <v>160</v>
      </c>
      <c r="D720" s="320"/>
      <c r="E720" s="321">
        <f>+$E$408</f>
        <v>3.3000000000000002E-2</v>
      </c>
      <c r="F720" s="321">
        <f>+$F$408</f>
        <v>3.5999999999999997E-2</v>
      </c>
      <c r="G720" s="321">
        <f>+$G$408</f>
        <v>4.2000000000000003E-2</v>
      </c>
      <c r="H720" s="321">
        <f>+$H$408</f>
        <v>4.8000000000000001E-2</v>
      </c>
      <c r="I720" s="321">
        <f>+$I$408</f>
        <v>5.3999999999999999E-2</v>
      </c>
      <c r="J720" s="324"/>
    </row>
    <row r="721" spans="2:10" x14ac:dyDescent="0.2">
      <c r="B721" s="299" t="s">
        <v>305</v>
      </c>
      <c r="C721" s="300"/>
      <c r="D721" s="320"/>
      <c r="E721" s="279">
        <v>0</v>
      </c>
      <c r="F721" s="279">
        <v>0</v>
      </c>
      <c r="G721" s="279">
        <v>0</v>
      </c>
      <c r="H721" s="279">
        <v>0</v>
      </c>
      <c r="I721" s="279">
        <v>0</v>
      </c>
      <c r="J721" s="324"/>
    </row>
    <row r="722" spans="2:10" ht="15" x14ac:dyDescent="0.25">
      <c r="B722" s="322" t="s">
        <v>317</v>
      </c>
      <c r="C722" s="306"/>
      <c r="D722" s="323">
        <f t="shared" ref="D722:I722" si="943">+D719*D714</f>
        <v>166860704.63867998</v>
      </c>
      <c r="E722" s="323">
        <f t="shared" si="943"/>
        <v>29566599.393616997</v>
      </c>
      <c r="F722" s="323">
        <f t="shared" si="943"/>
        <v>31855066.425682861</v>
      </c>
      <c r="G722" s="323">
        <f t="shared" si="943"/>
        <v>34519275.537555046</v>
      </c>
      <c r="H722" s="323">
        <f t="shared" si="943"/>
        <v>37619414.425490759</v>
      </c>
      <c r="I722" s="323">
        <f t="shared" si="943"/>
        <v>41233753.986638807</v>
      </c>
      <c r="J722" s="324"/>
    </row>
    <row r="723" spans="2:10" x14ac:dyDescent="0.2">
      <c r="B723" s="299" t="s">
        <v>321</v>
      </c>
      <c r="C723" s="306" t="s">
        <v>45</v>
      </c>
      <c r="D723" s="302">
        <f>+P57</f>
        <v>698.13</v>
      </c>
      <c r="E723" s="302">
        <f>+D723*(1+E724)*(1+E725)</f>
        <v>721.16828999999996</v>
      </c>
      <c r="F723" s="302">
        <f>+E723*(1+F724)*(1+F725)</f>
        <v>747.13034844000003</v>
      </c>
      <c r="G723" s="302">
        <f>+F723*(1+G724)*(1+G725)</f>
        <v>778.5098230744801</v>
      </c>
      <c r="H723" s="302">
        <f>+G723*(1+H724)*(1+H725)</f>
        <v>815.87829458205522</v>
      </c>
      <c r="I723" s="302">
        <f>+H723*(1+I724)*(1+I725)</f>
        <v>859.93572248948624</v>
      </c>
    </row>
    <row r="724" spans="2:10" x14ac:dyDescent="0.2">
      <c r="B724" s="299" t="s">
        <v>318</v>
      </c>
      <c r="C724" s="306" t="s">
        <v>160</v>
      </c>
      <c r="D724" s="320"/>
      <c r="E724" s="321">
        <f>+$E$408</f>
        <v>3.3000000000000002E-2</v>
      </c>
      <c r="F724" s="321">
        <f>+$F$408</f>
        <v>3.5999999999999997E-2</v>
      </c>
      <c r="G724" s="321">
        <f>+$G$408</f>
        <v>4.2000000000000003E-2</v>
      </c>
      <c r="H724" s="321">
        <f>+$H$408</f>
        <v>4.8000000000000001E-2</v>
      </c>
      <c r="I724" s="321">
        <f>+$I$408</f>
        <v>5.3999999999999999E-2</v>
      </c>
    </row>
    <row r="725" spans="2:10" x14ac:dyDescent="0.2">
      <c r="B725" s="299" t="s">
        <v>305</v>
      </c>
      <c r="C725" s="300"/>
      <c r="D725" s="320"/>
      <c r="E725" s="279">
        <v>0</v>
      </c>
      <c r="F725" s="279">
        <v>0</v>
      </c>
      <c r="G725" s="279">
        <v>0</v>
      </c>
      <c r="H725" s="279">
        <v>0</v>
      </c>
      <c r="I725" s="279">
        <v>0</v>
      </c>
    </row>
    <row r="726" spans="2:10" ht="15" x14ac:dyDescent="0.25">
      <c r="B726" s="322" t="s">
        <v>317</v>
      </c>
      <c r="C726" s="306"/>
      <c r="D726" s="323">
        <f t="shared" ref="D726:I726" si="944">+D723*D714</f>
        <v>25563370.3596</v>
      </c>
      <c r="E726" s="323">
        <f t="shared" si="944"/>
        <v>4529658.0294899996</v>
      </c>
      <c r="F726" s="323">
        <f t="shared" si="944"/>
        <v>4880255.4360100804</v>
      </c>
      <c r="G726" s="323">
        <f t="shared" si="944"/>
        <v>5288417.2281449437</v>
      </c>
      <c r="H726" s="323">
        <f t="shared" si="944"/>
        <v>5763364.2729276381</v>
      </c>
      <c r="I726" s="323">
        <f t="shared" si="944"/>
        <v>6317087.8174077664</v>
      </c>
    </row>
    <row r="727" spans="2:10" x14ac:dyDescent="0.2">
      <c r="B727" s="316" t="str">
        <f>+Ingresos!B573</f>
        <v>Tomate riñon</v>
      </c>
      <c r="C727" s="317"/>
      <c r="D727" s="318"/>
      <c r="E727" s="318"/>
      <c r="F727" s="318"/>
      <c r="G727" s="318"/>
      <c r="H727" s="318"/>
      <c r="I727" s="318"/>
      <c r="J727" s="324"/>
    </row>
    <row r="728" spans="2:10" x14ac:dyDescent="0.2">
      <c r="B728" s="299" t="s">
        <v>159</v>
      </c>
      <c r="C728" s="319"/>
      <c r="D728" s="302">
        <f>+P206</f>
        <v>6039.8399999999992</v>
      </c>
      <c r="E728" s="302">
        <f>+Ingresos!D574</f>
        <v>6281</v>
      </c>
      <c r="F728" s="302">
        <f>+Ingresos!E574</f>
        <v>6532</v>
      </c>
      <c r="G728" s="302">
        <f>+Ingresos!F574</f>
        <v>6793</v>
      </c>
      <c r="H728" s="302">
        <f>+Ingresos!G574</f>
        <v>7064</v>
      </c>
      <c r="I728" s="302">
        <f>+Ingresos!H574</f>
        <v>7346</v>
      </c>
      <c r="J728" s="324"/>
    </row>
    <row r="729" spans="2:10" x14ac:dyDescent="0.2">
      <c r="B729" s="299" t="s">
        <v>319</v>
      </c>
      <c r="C729" s="306" t="s">
        <v>45</v>
      </c>
      <c r="D729" s="302">
        <f>+P67</f>
        <v>0</v>
      </c>
      <c r="E729" s="302">
        <f>+D729*(1+E730)*(1+E731)</f>
        <v>0</v>
      </c>
      <c r="F729" s="302">
        <f>+E729*(1+F730)*(1+F731)</f>
        <v>0</v>
      </c>
      <c r="G729" s="302">
        <f>+F729*(1+G730)*(1+G731)</f>
        <v>0</v>
      </c>
      <c r="H729" s="302">
        <f>+G729*(1+H730)*(1+H731)</f>
        <v>0</v>
      </c>
      <c r="I729" s="302">
        <f>+H729*(1+I730)*(1+I731)</f>
        <v>0</v>
      </c>
      <c r="J729" s="324"/>
    </row>
    <row r="730" spans="2:10" x14ac:dyDescent="0.2">
      <c r="B730" s="299" t="s">
        <v>318</v>
      </c>
      <c r="C730" s="306" t="s">
        <v>160</v>
      </c>
      <c r="D730" s="320"/>
      <c r="E730" s="321">
        <f>+E716</f>
        <v>3.3000000000000002E-2</v>
      </c>
      <c r="F730" s="321">
        <f>F380</f>
        <v>0</v>
      </c>
      <c r="G730" s="321">
        <f>G380</f>
        <v>0</v>
      </c>
      <c r="H730" s="321">
        <f>H380</f>
        <v>0</v>
      </c>
      <c r="I730" s="321">
        <f>+$I$408</f>
        <v>5.3999999999999999E-2</v>
      </c>
      <c r="J730" s="324"/>
    </row>
    <row r="731" spans="2:10" x14ac:dyDescent="0.2">
      <c r="B731" s="299" t="s">
        <v>305</v>
      </c>
      <c r="C731" s="300"/>
      <c r="D731" s="320"/>
      <c r="E731" s="279">
        <v>0</v>
      </c>
      <c r="F731" s="279">
        <v>0</v>
      </c>
      <c r="G731" s="279">
        <v>0</v>
      </c>
      <c r="H731" s="279">
        <v>0</v>
      </c>
      <c r="I731" s="279">
        <v>0</v>
      </c>
      <c r="J731" s="324"/>
    </row>
    <row r="732" spans="2:10" ht="15" x14ac:dyDescent="0.25">
      <c r="B732" s="322" t="s">
        <v>317</v>
      </c>
      <c r="C732" s="306"/>
      <c r="D732" s="304">
        <f t="shared" ref="D732:I732" si="945">D728*D729</f>
        <v>0</v>
      </c>
      <c r="E732" s="304">
        <f t="shared" si="945"/>
        <v>0</v>
      </c>
      <c r="F732" s="304">
        <f t="shared" si="945"/>
        <v>0</v>
      </c>
      <c r="G732" s="304">
        <f t="shared" si="945"/>
        <v>0</v>
      </c>
      <c r="H732" s="304">
        <f t="shared" si="945"/>
        <v>0</v>
      </c>
      <c r="I732" s="304">
        <f t="shared" si="945"/>
        <v>0</v>
      </c>
      <c r="J732" s="324"/>
    </row>
    <row r="733" spans="2:10" x14ac:dyDescent="0.2">
      <c r="B733" s="299" t="s">
        <v>320</v>
      </c>
      <c r="C733" s="306" t="s">
        <v>45</v>
      </c>
      <c r="D733" s="302">
        <f>+P69</f>
        <v>0</v>
      </c>
      <c r="E733" s="302">
        <f>+D733*(1+E734)*(1+E735)</f>
        <v>0</v>
      </c>
      <c r="F733" s="302">
        <f>+E733*(1+F734)*(1+F735)</f>
        <v>0</v>
      </c>
      <c r="G733" s="302">
        <f>+F733*(1+G734)*(1+G735)</f>
        <v>0</v>
      </c>
      <c r="H733" s="302">
        <f>+G733*(1+H734)*(1+H735)</f>
        <v>0</v>
      </c>
      <c r="I733" s="302">
        <f>+H733*(1+I734)*(1+I735)</f>
        <v>0</v>
      </c>
      <c r="J733" s="324"/>
    </row>
    <row r="734" spans="2:10" x14ac:dyDescent="0.2">
      <c r="B734" s="299" t="s">
        <v>318</v>
      </c>
      <c r="C734" s="306" t="s">
        <v>160</v>
      </c>
      <c r="D734" s="320"/>
      <c r="E734" s="321">
        <f>+$E$408</f>
        <v>3.3000000000000002E-2</v>
      </c>
      <c r="F734" s="321">
        <f>+$F$408</f>
        <v>3.5999999999999997E-2</v>
      </c>
      <c r="G734" s="321">
        <f>+$G$408</f>
        <v>4.2000000000000003E-2</v>
      </c>
      <c r="H734" s="321">
        <f>+$H$408</f>
        <v>4.8000000000000001E-2</v>
      </c>
      <c r="I734" s="321">
        <f>+$I$408</f>
        <v>5.3999999999999999E-2</v>
      </c>
      <c r="J734" s="324"/>
    </row>
    <row r="735" spans="2:10" x14ac:dyDescent="0.2">
      <c r="B735" s="299" t="s">
        <v>305</v>
      </c>
      <c r="C735" s="300"/>
      <c r="D735" s="320"/>
      <c r="E735" s="279">
        <v>0</v>
      </c>
      <c r="F735" s="279">
        <v>0</v>
      </c>
      <c r="G735" s="279">
        <v>0</v>
      </c>
      <c r="H735" s="279">
        <v>0</v>
      </c>
      <c r="I735" s="279">
        <v>0</v>
      </c>
      <c r="J735" s="324"/>
    </row>
    <row r="736" spans="2:10" ht="15" x14ac:dyDescent="0.25">
      <c r="B736" s="322" t="s">
        <v>317</v>
      </c>
      <c r="C736" s="306"/>
      <c r="D736" s="323">
        <f t="shared" ref="D736:I736" si="946">+D733*D728</f>
        <v>0</v>
      </c>
      <c r="E736" s="323">
        <f t="shared" si="946"/>
        <v>0</v>
      </c>
      <c r="F736" s="323">
        <f t="shared" si="946"/>
        <v>0</v>
      </c>
      <c r="G736" s="323">
        <f t="shared" si="946"/>
        <v>0</v>
      </c>
      <c r="H736" s="323">
        <f t="shared" si="946"/>
        <v>0</v>
      </c>
      <c r="I736" s="323">
        <f t="shared" si="946"/>
        <v>0</v>
      </c>
      <c r="J736" s="324"/>
    </row>
    <row r="737" spans="2:10" x14ac:dyDescent="0.2">
      <c r="B737" s="299" t="s">
        <v>321</v>
      </c>
      <c r="C737" s="306" t="s">
        <v>45</v>
      </c>
      <c r="D737" s="302">
        <f>+P71</f>
        <v>3334.5</v>
      </c>
      <c r="E737" s="302">
        <f>+D737*(1+E738)*(1+E739)</f>
        <v>3444.5384999999997</v>
      </c>
      <c r="F737" s="302">
        <f>+E737*(1+F738)*(1+F739)</f>
        <v>3568.541886</v>
      </c>
      <c r="G737" s="302">
        <f>+F737*(1+G738)*(1+G739)</f>
        <v>3718.4206452120002</v>
      </c>
      <c r="H737" s="302">
        <f>+G737*(1+H738)*(1+H739)</f>
        <v>3896.9048361821765</v>
      </c>
      <c r="I737" s="302">
        <f>+H737*(1+I738)*(1+I739)</f>
        <v>4107.3376973360146</v>
      </c>
    </row>
    <row r="738" spans="2:10" x14ac:dyDescent="0.2">
      <c r="B738" s="299" t="s">
        <v>318</v>
      </c>
      <c r="C738" s="306" t="s">
        <v>160</v>
      </c>
      <c r="D738" s="320"/>
      <c r="E738" s="321">
        <f>+$E$408</f>
        <v>3.3000000000000002E-2</v>
      </c>
      <c r="F738" s="321">
        <f>+$F$408</f>
        <v>3.5999999999999997E-2</v>
      </c>
      <c r="G738" s="321">
        <f>+$G$408</f>
        <v>4.2000000000000003E-2</v>
      </c>
      <c r="H738" s="321">
        <f>+$H$408</f>
        <v>4.8000000000000001E-2</v>
      </c>
      <c r="I738" s="321">
        <f>+$I$408</f>
        <v>5.3999999999999999E-2</v>
      </c>
    </row>
    <row r="739" spans="2:10" x14ac:dyDescent="0.2">
      <c r="B739" s="299" t="s">
        <v>305</v>
      </c>
      <c r="C739" s="300"/>
      <c r="D739" s="320"/>
      <c r="E739" s="279">
        <v>0</v>
      </c>
      <c r="F739" s="279">
        <v>0</v>
      </c>
      <c r="G739" s="279">
        <v>0</v>
      </c>
      <c r="H739" s="279">
        <v>0</v>
      </c>
      <c r="I739" s="279">
        <v>0</v>
      </c>
    </row>
    <row r="740" spans="2:10" ht="15" x14ac:dyDescent="0.25">
      <c r="B740" s="322" t="s">
        <v>317</v>
      </c>
      <c r="C740" s="306"/>
      <c r="D740" s="323">
        <f t="shared" ref="D740:I740" si="947">+D737*D728</f>
        <v>20139846.479999997</v>
      </c>
      <c r="E740" s="323">
        <f t="shared" si="947"/>
        <v>21635146.318499997</v>
      </c>
      <c r="F740" s="323">
        <f t="shared" si="947"/>
        <v>23309715.599351998</v>
      </c>
      <c r="G740" s="323">
        <f t="shared" si="947"/>
        <v>25259231.442925118</v>
      </c>
      <c r="H740" s="323">
        <f t="shared" si="947"/>
        <v>27527735.762790896</v>
      </c>
      <c r="I740" s="323">
        <f t="shared" si="947"/>
        <v>30172502.724630363</v>
      </c>
    </row>
    <row r="741" spans="2:10" x14ac:dyDescent="0.2">
      <c r="B741" s="316" t="str">
        <f>+Ingresos!B581</f>
        <v>Yuca</v>
      </c>
      <c r="C741" s="317"/>
      <c r="D741" s="318"/>
      <c r="E741" s="318"/>
      <c r="F741" s="318"/>
      <c r="G741" s="318"/>
      <c r="H741" s="318"/>
      <c r="I741" s="318"/>
      <c r="J741" s="324"/>
    </row>
    <row r="742" spans="2:10" x14ac:dyDescent="0.2">
      <c r="B742" s="299" t="s">
        <v>159</v>
      </c>
      <c r="C742" s="319"/>
      <c r="D742" s="302">
        <f>+P214</f>
        <v>106941</v>
      </c>
      <c r="E742" s="302">
        <f>+Ingresos!D582</f>
        <v>111218</v>
      </c>
      <c r="F742" s="302">
        <f>+Ingresos!E582</f>
        <v>115666</v>
      </c>
      <c r="G742" s="302">
        <f>+Ingresos!F582</f>
        <v>120292</v>
      </c>
      <c r="H742" s="302">
        <f>+Ingresos!G582</f>
        <v>125103</v>
      </c>
      <c r="I742" s="302">
        <f>+Ingresos!H582</f>
        <v>130107</v>
      </c>
      <c r="J742" s="324"/>
    </row>
    <row r="743" spans="2:10" x14ac:dyDescent="0.2">
      <c r="B743" s="299" t="s">
        <v>319</v>
      </c>
      <c r="C743" s="306" t="s">
        <v>45</v>
      </c>
      <c r="D743" s="302">
        <f>+P81</f>
        <v>97.81</v>
      </c>
      <c r="E743" s="302">
        <f>+D743*(1+E744)*(1+E745)</f>
        <v>101.03773</v>
      </c>
      <c r="F743" s="302">
        <f>+E743*(1+F744)*(1+F745)</f>
        <v>101.03773</v>
      </c>
      <c r="G743" s="302">
        <f>+F743*(1+G744)*(1+G745)</f>
        <v>101.03773</v>
      </c>
      <c r="H743" s="302">
        <f>+G743*(1+H744)*(1+H745)</f>
        <v>101.03773</v>
      </c>
      <c r="I743" s="302">
        <f>+H743*(1+I744)*(1+I745)</f>
        <v>106.49376742</v>
      </c>
      <c r="J743" s="324"/>
    </row>
    <row r="744" spans="2:10" x14ac:dyDescent="0.2">
      <c r="B744" s="299" t="s">
        <v>318</v>
      </c>
      <c r="C744" s="306" t="s">
        <v>160</v>
      </c>
      <c r="D744" s="320"/>
      <c r="E744" s="321">
        <f>+E730</f>
        <v>3.3000000000000002E-2</v>
      </c>
      <c r="F744" s="321">
        <f>F394</f>
        <v>0</v>
      </c>
      <c r="G744" s="321">
        <f>G394</f>
        <v>0</v>
      </c>
      <c r="H744" s="321">
        <f>H394</f>
        <v>0</v>
      </c>
      <c r="I744" s="321">
        <f>+$I$408</f>
        <v>5.3999999999999999E-2</v>
      </c>
      <c r="J744" s="324"/>
    </row>
    <row r="745" spans="2:10" x14ac:dyDescent="0.2">
      <c r="B745" s="299" t="s">
        <v>305</v>
      </c>
      <c r="C745" s="300"/>
      <c r="D745" s="320"/>
      <c r="E745" s="279">
        <v>0</v>
      </c>
      <c r="F745" s="279">
        <v>0</v>
      </c>
      <c r="G745" s="279">
        <v>0</v>
      </c>
      <c r="H745" s="279">
        <v>0</v>
      </c>
      <c r="I745" s="279">
        <v>0</v>
      </c>
      <c r="J745" s="324"/>
    </row>
    <row r="746" spans="2:10" ht="15" x14ac:dyDescent="0.25">
      <c r="B746" s="322" t="s">
        <v>317</v>
      </c>
      <c r="C746" s="306"/>
      <c r="D746" s="304">
        <f t="shared" ref="D746:I746" si="948">D742*D743</f>
        <v>10459899.210000001</v>
      </c>
      <c r="E746" s="304">
        <f t="shared" si="948"/>
        <v>11237214.255139999</v>
      </c>
      <c r="F746" s="304">
        <f t="shared" si="948"/>
        <v>11686630.07818</v>
      </c>
      <c r="G746" s="304">
        <f t="shared" si="948"/>
        <v>12154030.61716</v>
      </c>
      <c r="H746" s="304">
        <f t="shared" si="948"/>
        <v>12640123.136189999</v>
      </c>
      <c r="I746" s="304">
        <f t="shared" si="948"/>
        <v>13855584.59771394</v>
      </c>
      <c r="J746" s="324"/>
    </row>
    <row r="747" spans="2:10" x14ac:dyDescent="0.2">
      <c r="B747" s="299" t="s">
        <v>320</v>
      </c>
      <c r="C747" s="306" t="s">
        <v>45</v>
      </c>
      <c r="D747" s="302">
        <f>+P83</f>
        <v>0</v>
      </c>
      <c r="E747" s="302">
        <f>+D747*(1+E748)*(1+E749)</f>
        <v>0</v>
      </c>
      <c r="F747" s="302">
        <f>+E747*(1+F748)*(1+F749)</f>
        <v>0</v>
      </c>
      <c r="G747" s="302">
        <f>+F747*(1+G748)*(1+G749)</f>
        <v>0</v>
      </c>
      <c r="H747" s="302">
        <f>+G747*(1+H748)*(1+H749)</f>
        <v>0</v>
      </c>
      <c r="I747" s="302">
        <f>+H747*(1+I748)*(1+I749)</f>
        <v>0</v>
      </c>
      <c r="J747" s="324"/>
    </row>
    <row r="748" spans="2:10" x14ac:dyDescent="0.2">
      <c r="B748" s="299" t="s">
        <v>318</v>
      </c>
      <c r="C748" s="306" t="s">
        <v>160</v>
      </c>
      <c r="D748" s="320"/>
      <c r="E748" s="321">
        <f>+$E$408</f>
        <v>3.3000000000000002E-2</v>
      </c>
      <c r="F748" s="321">
        <f>+$F$408</f>
        <v>3.5999999999999997E-2</v>
      </c>
      <c r="G748" s="321">
        <f>+$G$408</f>
        <v>4.2000000000000003E-2</v>
      </c>
      <c r="H748" s="321">
        <f>+$H$408</f>
        <v>4.8000000000000001E-2</v>
      </c>
      <c r="I748" s="321">
        <f>+$I$408</f>
        <v>5.3999999999999999E-2</v>
      </c>
      <c r="J748" s="324"/>
    </row>
    <row r="749" spans="2:10" x14ac:dyDescent="0.2">
      <c r="B749" s="299" t="s">
        <v>305</v>
      </c>
      <c r="C749" s="300"/>
      <c r="D749" s="320"/>
      <c r="E749" s="279">
        <v>0</v>
      </c>
      <c r="F749" s="279">
        <v>0</v>
      </c>
      <c r="G749" s="279">
        <v>0</v>
      </c>
      <c r="H749" s="279">
        <v>0</v>
      </c>
      <c r="I749" s="279">
        <v>0</v>
      </c>
      <c r="J749" s="324"/>
    </row>
    <row r="750" spans="2:10" ht="15" x14ac:dyDescent="0.25">
      <c r="B750" s="322" t="s">
        <v>317</v>
      </c>
      <c r="C750" s="306"/>
      <c r="D750" s="323">
        <f t="shared" ref="D750:I750" si="949">+D747*D742</f>
        <v>0</v>
      </c>
      <c r="E750" s="323">
        <f t="shared" si="949"/>
        <v>0</v>
      </c>
      <c r="F750" s="323">
        <f t="shared" si="949"/>
        <v>0</v>
      </c>
      <c r="G750" s="323">
        <f t="shared" si="949"/>
        <v>0</v>
      </c>
      <c r="H750" s="323">
        <f t="shared" si="949"/>
        <v>0</v>
      </c>
      <c r="I750" s="323">
        <f t="shared" si="949"/>
        <v>0</v>
      </c>
      <c r="J750" s="324"/>
    </row>
    <row r="751" spans="2:10" x14ac:dyDescent="0.2">
      <c r="B751" s="299" t="s">
        <v>321</v>
      </c>
      <c r="C751" s="306" t="s">
        <v>45</v>
      </c>
      <c r="D751" s="302">
        <f>+P85</f>
        <v>0</v>
      </c>
      <c r="E751" s="302">
        <f>+D751*(1+E752)*(1+E753)</f>
        <v>0</v>
      </c>
      <c r="F751" s="302">
        <f>+E751*(1+F752)*(1+F753)</f>
        <v>0</v>
      </c>
      <c r="G751" s="302">
        <f>+F751*(1+G752)*(1+G753)</f>
        <v>0</v>
      </c>
      <c r="H751" s="302">
        <f>+G751*(1+H752)*(1+H753)</f>
        <v>0</v>
      </c>
      <c r="I751" s="302">
        <f>+H751*(1+I752)*(1+I753)</f>
        <v>0</v>
      </c>
    </row>
    <row r="752" spans="2:10" x14ac:dyDescent="0.2">
      <c r="B752" s="299" t="s">
        <v>318</v>
      </c>
      <c r="C752" s="306" t="s">
        <v>160</v>
      </c>
      <c r="D752" s="320"/>
      <c r="E752" s="321">
        <f>+$E$408</f>
        <v>3.3000000000000002E-2</v>
      </c>
      <c r="F752" s="321">
        <f>+$F$408</f>
        <v>3.5999999999999997E-2</v>
      </c>
      <c r="G752" s="321">
        <f>+$G$408</f>
        <v>4.2000000000000003E-2</v>
      </c>
      <c r="H752" s="321">
        <f>+$H$408</f>
        <v>4.8000000000000001E-2</v>
      </c>
      <c r="I752" s="321">
        <f>+$I$408</f>
        <v>5.3999999999999999E-2</v>
      </c>
    </row>
    <row r="753" spans="2:10" x14ac:dyDescent="0.2">
      <c r="B753" s="299" t="s">
        <v>305</v>
      </c>
      <c r="C753" s="300"/>
      <c r="D753" s="320"/>
      <c r="E753" s="279">
        <v>0</v>
      </c>
      <c r="F753" s="279">
        <v>0</v>
      </c>
      <c r="G753" s="279">
        <v>0</v>
      </c>
      <c r="H753" s="279">
        <v>0</v>
      </c>
      <c r="I753" s="279">
        <v>0</v>
      </c>
    </row>
    <row r="754" spans="2:10" ht="15" x14ac:dyDescent="0.25">
      <c r="B754" s="322" t="s">
        <v>317</v>
      </c>
      <c r="C754" s="306"/>
      <c r="D754" s="323">
        <f t="shared" ref="D754:I754" si="950">+D751*D742</f>
        <v>0</v>
      </c>
      <c r="E754" s="323">
        <f t="shared" si="950"/>
        <v>0</v>
      </c>
      <c r="F754" s="323">
        <f t="shared" si="950"/>
        <v>0</v>
      </c>
      <c r="G754" s="323">
        <f t="shared" si="950"/>
        <v>0</v>
      </c>
      <c r="H754" s="323">
        <f t="shared" si="950"/>
        <v>0</v>
      </c>
      <c r="I754" s="323">
        <f t="shared" si="950"/>
        <v>0</v>
      </c>
    </row>
    <row r="755" spans="2:10" x14ac:dyDescent="0.2">
      <c r="B755" s="316" t="str">
        <f>+Ingresos!B589</f>
        <v>Zanahoria</v>
      </c>
      <c r="C755" s="317"/>
      <c r="D755" s="318"/>
      <c r="E755" s="318"/>
      <c r="F755" s="318"/>
      <c r="G755" s="318"/>
      <c r="H755" s="318"/>
      <c r="I755" s="318"/>
      <c r="J755" s="324"/>
    </row>
    <row r="756" spans="2:10" x14ac:dyDescent="0.2">
      <c r="B756" s="299" t="s">
        <v>159</v>
      </c>
      <c r="C756" s="319"/>
      <c r="D756" s="302">
        <f>+P222</f>
        <v>7480.2000000000016</v>
      </c>
      <c r="E756" s="302">
        <f>+Ingresos!D590</f>
        <v>7779</v>
      </c>
      <c r="F756" s="302">
        <f>+Ingresos!E590</f>
        <v>8090</v>
      </c>
      <c r="G756" s="302">
        <f>+Ingresos!F590</f>
        <v>8413</v>
      </c>
      <c r="H756" s="302">
        <f>+Ingresos!G590</f>
        <v>8749</v>
      </c>
      <c r="I756" s="302">
        <f>+Ingresos!H590</f>
        <v>9098</v>
      </c>
      <c r="J756" s="324"/>
    </row>
    <row r="757" spans="2:10" x14ac:dyDescent="0.2">
      <c r="B757" s="299" t="s">
        <v>319</v>
      </c>
      <c r="C757" s="306" t="s">
        <v>45</v>
      </c>
      <c r="D757" s="302">
        <f>+P95</f>
        <v>866.97</v>
      </c>
      <c r="E757" s="302">
        <f>+D757*(1+E758)*(1+E759)</f>
        <v>895.5800099999999</v>
      </c>
      <c r="F757" s="302">
        <f>+E757*(1+F758)*(1+F759)</f>
        <v>927.82089035999991</v>
      </c>
      <c r="G757" s="302">
        <f>+F757*(1+G758)*(1+G759)</f>
        <v>966.78936775511988</v>
      </c>
      <c r="H757" s="302">
        <f>+G757*(1+H758)*(1+H759)</f>
        <v>1013.1952574073657</v>
      </c>
      <c r="I757" s="302">
        <f>+H757*(1+I758)*(1+I759)</f>
        <v>1067.9078013073636</v>
      </c>
      <c r="J757" s="324"/>
    </row>
    <row r="758" spans="2:10" x14ac:dyDescent="0.2">
      <c r="B758" s="299" t="s">
        <v>318</v>
      </c>
      <c r="C758" s="306" t="s">
        <v>160</v>
      </c>
      <c r="D758" s="320"/>
      <c r="E758" s="321">
        <f>+E744</f>
        <v>3.3000000000000002E-2</v>
      </c>
      <c r="F758" s="321">
        <f>F408</f>
        <v>3.5999999999999997E-2</v>
      </c>
      <c r="G758" s="321">
        <f>G408</f>
        <v>4.2000000000000003E-2</v>
      </c>
      <c r="H758" s="321">
        <f>H408</f>
        <v>4.8000000000000001E-2</v>
      </c>
      <c r="I758" s="321">
        <f>+$I$408</f>
        <v>5.3999999999999999E-2</v>
      </c>
      <c r="J758" s="324"/>
    </row>
    <row r="759" spans="2:10" x14ac:dyDescent="0.2">
      <c r="B759" s="299" t="s">
        <v>305</v>
      </c>
      <c r="C759" s="300"/>
      <c r="D759" s="320"/>
      <c r="E759" s="279">
        <v>0</v>
      </c>
      <c r="F759" s="279">
        <v>0</v>
      </c>
      <c r="G759" s="279">
        <v>0</v>
      </c>
      <c r="H759" s="279">
        <v>0</v>
      </c>
      <c r="I759" s="279">
        <v>0</v>
      </c>
      <c r="J759" s="324"/>
    </row>
    <row r="760" spans="2:10" ht="15" x14ac:dyDescent="0.25">
      <c r="B760" s="322" t="s">
        <v>317</v>
      </c>
      <c r="C760" s="306"/>
      <c r="D760" s="304">
        <f t="shared" ref="D760:I760" si="951">D756*D757</f>
        <v>6485108.9940000018</v>
      </c>
      <c r="E760" s="304">
        <f t="shared" si="951"/>
        <v>6966716.8977899989</v>
      </c>
      <c r="F760" s="304">
        <f t="shared" si="951"/>
        <v>7506071.0030123992</v>
      </c>
      <c r="G760" s="304">
        <f t="shared" si="951"/>
        <v>8133598.9509238238</v>
      </c>
      <c r="H760" s="304">
        <f t="shared" si="951"/>
        <v>8864445.3070570435</v>
      </c>
      <c r="I760" s="304">
        <f t="shared" si="951"/>
        <v>9715825.1762943938</v>
      </c>
      <c r="J760" s="324"/>
    </row>
    <row r="761" spans="2:10" x14ac:dyDescent="0.2">
      <c r="B761" s="299" t="s">
        <v>320</v>
      </c>
      <c r="C761" s="306" t="s">
        <v>45</v>
      </c>
      <c r="D761" s="302">
        <f>+P97</f>
        <v>67.400000000000006</v>
      </c>
      <c r="E761" s="302">
        <f>+D761*(1+E762)*(1+E763)</f>
        <v>69.624200000000002</v>
      </c>
      <c r="F761" s="302">
        <f>+E761*(1+F762)*(1+F763)</f>
        <v>72.130671200000009</v>
      </c>
      <c r="G761" s="302">
        <f>+F761*(1+G762)*(1+G763)</f>
        <v>75.160159390400011</v>
      </c>
      <c r="H761" s="302">
        <f>+G761*(1+H762)*(1+H763)</f>
        <v>78.76784704113922</v>
      </c>
      <c r="I761" s="302">
        <f>+H761*(1+I762)*(1+I763)</f>
        <v>83.021310781360739</v>
      </c>
      <c r="J761" s="324"/>
    </row>
    <row r="762" spans="2:10" x14ac:dyDescent="0.2">
      <c r="B762" s="299" t="s">
        <v>318</v>
      </c>
      <c r="C762" s="306" t="s">
        <v>160</v>
      </c>
      <c r="D762" s="320"/>
      <c r="E762" s="321">
        <f>+$E$408</f>
        <v>3.3000000000000002E-2</v>
      </c>
      <c r="F762" s="321">
        <f>+$F$408</f>
        <v>3.5999999999999997E-2</v>
      </c>
      <c r="G762" s="321">
        <f>+$G$408</f>
        <v>4.2000000000000003E-2</v>
      </c>
      <c r="H762" s="321">
        <f>+$H$408</f>
        <v>4.8000000000000001E-2</v>
      </c>
      <c r="I762" s="321">
        <f>+$I$408</f>
        <v>5.3999999999999999E-2</v>
      </c>
      <c r="J762" s="324"/>
    </row>
    <row r="763" spans="2:10" x14ac:dyDescent="0.2">
      <c r="B763" s="299" t="s">
        <v>305</v>
      </c>
      <c r="C763" s="300"/>
      <c r="D763" s="320"/>
      <c r="E763" s="279">
        <v>0</v>
      </c>
      <c r="F763" s="279">
        <v>0</v>
      </c>
      <c r="G763" s="279">
        <v>0</v>
      </c>
      <c r="H763" s="279">
        <v>0</v>
      </c>
      <c r="I763" s="279">
        <v>0</v>
      </c>
      <c r="J763" s="324"/>
    </row>
    <row r="764" spans="2:10" ht="15" x14ac:dyDescent="0.25">
      <c r="B764" s="322" t="s">
        <v>317</v>
      </c>
      <c r="C764" s="306"/>
      <c r="D764" s="323">
        <f t="shared" ref="D764:I764" si="952">+D761*D756</f>
        <v>504165.48000000016</v>
      </c>
      <c r="E764" s="323">
        <f t="shared" si="952"/>
        <v>541606.65179999999</v>
      </c>
      <c r="F764" s="323">
        <f t="shared" si="952"/>
        <v>583537.13000800007</v>
      </c>
      <c r="G764" s="323">
        <f t="shared" si="952"/>
        <v>632322.42095143534</v>
      </c>
      <c r="H764" s="323">
        <f t="shared" si="952"/>
        <v>689139.89376292704</v>
      </c>
      <c r="I764" s="323">
        <f t="shared" si="952"/>
        <v>755327.88548882003</v>
      </c>
      <c r="J764" s="324"/>
    </row>
    <row r="765" spans="2:10" x14ac:dyDescent="0.2">
      <c r="B765" s="299" t="s">
        <v>321</v>
      </c>
      <c r="C765" s="306" t="s">
        <v>45</v>
      </c>
      <c r="D765" s="302">
        <f>+P99</f>
        <v>0</v>
      </c>
      <c r="E765" s="302">
        <f>+D765*(1+E766)*(1+E767)</f>
        <v>0</v>
      </c>
      <c r="F765" s="302">
        <f>+E765*(1+F766)*(1+F767)</f>
        <v>0</v>
      </c>
      <c r="G765" s="302">
        <f>+F765*(1+G766)*(1+G767)</f>
        <v>0</v>
      </c>
      <c r="H765" s="302">
        <f>+G765*(1+H766)*(1+H767)</f>
        <v>0</v>
      </c>
      <c r="I765" s="302">
        <f>+H765*(1+I766)*(1+I767)</f>
        <v>0</v>
      </c>
    </row>
    <row r="766" spans="2:10" x14ac:dyDescent="0.2">
      <c r="B766" s="299" t="s">
        <v>318</v>
      </c>
      <c r="C766" s="306" t="s">
        <v>160</v>
      </c>
      <c r="D766" s="320"/>
      <c r="E766" s="321">
        <f>+$E$408</f>
        <v>3.3000000000000002E-2</v>
      </c>
      <c r="F766" s="321">
        <f>+$F$408</f>
        <v>3.5999999999999997E-2</v>
      </c>
      <c r="G766" s="321">
        <f>+$G$408</f>
        <v>4.2000000000000003E-2</v>
      </c>
      <c r="H766" s="321">
        <f>+$H$408</f>
        <v>4.8000000000000001E-2</v>
      </c>
      <c r="I766" s="321">
        <f>+$I$408</f>
        <v>5.3999999999999999E-2</v>
      </c>
    </row>
    <row r="767" spans="2:10" x14ac:dyDescent="0.2">
      <c r="B767" s="299" t="s">
        <v>305</v>
      </c>
      <c r="C767" s="300"/>
      <c r="D767" s="320"/>
      <c r="E767" s="279">
        <v>0</v>
      </c>
      <c r="F767" s="279">
        <v>0</v>
      </c>
      <c r="G767" s="279">
        <v>0</v>
      </c>
      <c r="H767" s="279">
        <v>0</v>
      </c>
      <c r="I767" s="279">
        <v>0</v>
      </c>
    </row>
    <row r="768" spans="2:10" ht="15" x14ac:dyDescent="0.25">
      <c r="B768" s="322" t="s">
        <v>317</v>
      </c>
      <c r="C768" s="306"/>
      <c r="D768" s="323">
        <f t="shared" ref="D768:I768" si="953">+D765*D756</f>
        <v>0</v>
      </c>
      <c r="E768" s="323">
        <f t="shared" si="953"/>
        <v>0</v>
      </c>
      <c r="F768" s="323">
        <f t="shared" si="953"/>
        <v>0</v>
      </c>
      <c r="G768" s="323">
        <f t="shared" si="953"/>
        <v>0</v>
      </c>
      <c r="H768" s="323">
        <f t="shared" si="953"/>
        <v>0</v>
      </c>
      <c r="I768" s="323">
        <f t="shared" si="953"/>
        <v>0</v>
      </c>
    </row>
    <row r="769" spans="2:10" x14ac:dyDescent="0.2">
      <c r="B769" s="738" t="str">
        <f>+Ingresos!B597</f>
        <v>Aguacate Papelillo</v>
      </c>
      <c r="C769" s="317"/>
      <c r="D769" s="318"/>
      <c r="E769" s="318"/>
      <c r="F769" s="318"/>
      <c r="G769" s="318"/>
      <c r="H769" s="318"/>
      <c r="I769" s="318"/>
      <c r="J769" s="324"/>
    </row>
    <row r="770" spans="2:10" x14ac:dyDescent="0.2">
      <c r="B770" s="299" t="s">
        <v>159</v>
      </c>
      <c r="C770" s="319"/>
      <c r="D770" s="302">
        <f>+P230</f>
        <v>23509.199999999997</v>
      </c>
      <c r="E770" s="302">
        <f>+Ingresos!D598</f>
        <v>24449</v>
      </c>
      <c r="F770" s="302">
        <f>+Ingresos!E598</f>
        <v>25426</v>
      </c>
      <c r="G770" s="302">
        <f>+Ingresos!F598</f>
        <v>26443</v>
      </c>
      <c r="H770" s="302">
        <f>+Ingresos!G598</f>
        <v>27500</v>
      </c>
      <c r="I770" s="302">
        <f>+Ingresos!H598</f>
        <v>28600</v>
      </c>
      <c r="J770" s="324"/>
    </row>
    <row r="771" spans="2:10" x14ac:dyDescent="0.2">
      <c r="B771" s="299" t="s">
        <v>319</v>
      </c>
      <c r="C771" s="306" t="s">
        <v>45</v>
      </c>
      <c r="D771" s="302">
        <f>+P109</f>
        <v>0</v>
      </c>
      <c r="E771" s="302">
        <f>+D771*(1+E772)*(1+E773)</f>
        <v>0</v>
      </c>
      <c r="F771" s="302">
        <f>+E771*(1+F772)*(1+F773)</f>
        <v>0</v>
      </c>
      <c r="G771" s="302">
        <f>+F771*(1+G772)*(1+G773)</f>
        <v>0</v>
      </c>
      <c r="H771" s="302">
        <f>+G771*(1+H772)*(1+H773)</f>
        <v>0</v>
      </c>
      <c r="I771" s="302">
        <f>+H771*(1+I772)*(1+I773)</f>
        <v>0</v>
      </c>
      <c r="J771" s="324"/>
    </row>
    <row r="772" spans="2:10" x14ac:dyDescent="0.2">
      <c r="B772" s="299" t="s">
        <v>318</v>
      </c>
      <c r="C772" s="306" t="s">
        <v>160</v>
      </c>
      <c r="D772" s="320"/>
      <c r="E772" s="321">
        <f>+E758</f>
        <v>3.3000000000000002E-2</v>
      </c>
      <c r="F772" s="321">
        <f>F422</f>
        <v>3.5999999999999997E-2</v>
      </c>
      <c r="G772" s="321">
        <f>G422</f>
        <v>4.2000000000000003E-2</v>
      </c>
      <c r="H772" s="321">
        <f>H422</f>
        <v>4.8000000000000001E-2</v>
      </c>
      <c r="I772" s="321">
        <f>+$I$408</f>
        <v>5.3999999999999999E-2</v>
      </c>
      <c r="J772" s="324"/>
    </row>
    <row r="773" spans="2:10" x14ac:dyDescent="0.2">
      <c r="B773" s="299" t="s">
        <v>305</v>
      </c>
      <c r="C773" s="300"/>
      <c r="D773" s="320"/>
      <c r="E773" s="279">
        <v>0</v>
      </c>
      <c r="F773" s="279">
        <v>0</v>
      </c>
      <c r="G773" s="279">
        <v>0</v>
      </c>
      <c r="H773" s="279">
        <v>0</v>
      </c>
      <c r="I773" s="279">
        <v>0</v>
      </c>
      <c r="J773" s="324"/>
    </row>
    <row r="774" spans="2:10" ht="15" x14ac:dyDescent="0.25">
      <c r="B774" s="322" t="s">
        <v>317</v>
      </c>
      <c r="C774" s="306"/>
      <c r="D774" s="304">
        <f t="shared" ref="D774:I774" si="954">D770*D771</f>
        <v>0</v>
      </c>
      <c r="E774" s="304">
        <f t="shared" si="954"/>
        <v>0</v>
      </c>
      <c r="F774" s="304">
        <f t="shared" si="954"/>
        <v>0</v>
      </c>
      <c r="G774" s="304">
        <f t="shared" si="954"/>
        <v>0</v>
      </c>
      <c r="H774" s="304">
        <f t="shared" si="954"/>
        <v>0</v>
      </c>
      <c r="I774" s="304">
        <f t="shared" si="954"/>
        <v>0</v>
      </c>
      <c r="J774" s="324"/>
    </row>
    <row r="775" spans="2:10" x14ac:dyDescent="0.2">
      <c r="B775" s="299" t="s">
        <v>320</v>
      </c>
      <c r="C775" s="306" t="s">
        <v>45</v>
      </c>
      <c r="D775" s="302">
        <f>+P111</f>
        <v>3334.5</v>
      </c>
      <c r="E775" s="302">
        <f>+D775*(1+E776)*(1+E777)</f>
        <v>3444.5384999999997</v>
      </c>
      <c r="F775" s="302">
        <f>+E775*(1+F776)*(1+F777)</f>
        <v>3568.541886</v>
      </c>
      <c r="G775" s="302">
        <f>+F775*(1+G776)*(1+G777)</f>
        <v>3718.4206452120002</v>
      </c>
      <c r="H775" s="302">
        <f>+G775*(1+H776)*(1+H777)</f>
        <v>3896.9048361821765</v>
      </c>
      <c r="I775" s="302">
        <f>+H775*(1+I776)*(1+I777)</f>
        <v>4107.3376973360146</v>
      </c>
      <c r="J775" s="324"/>
    </row>
    <row r="776" spans="2:10" x14ac:dyDescent="0.2">
      <c r="B776" s="299" t="s">
        <v>318</v>
      </c>
      <c r="C776" s="306" t="s">
        <v>160</v>
      </c>
      <c r="D776" s="320"/>
      <c r="E776" s="321">
        <f>+$E$408</f>
        <v>3.3000000000000002E-2</v>
      </c>
      <c r="F776" s="321">
        <f>+$F$408</f>
        <v>3.5999999999999997E-2</v>
      </c>
      <c r="G776" s="321">
        <f>+$G$408</f>
        <v>4.2000000000000003E-2</v>
      </c>
      <c r="H776" s="321">
        <f>+$H$408</f>
        <v>4.8000000000000001E-2</v>
      </c>
      <c r="I776" s="321">
        <f>+$I$408</f>
        <v>5.3999999999999999E-2</v>
      </c>
      <c r="J776" s="324"/>
    </row>
    <row r="777" spans="2:10" x14ac:dyDescent="0.2">
      <c r="B777" s="299" t="s">
        <v>305</v>
      </c>
      <c r="C777" s="300"/>
      <c r="D777" s="320"/>
      <c r="E777" s="279">
        <v>0</v>
      </c>
      <c r="F777" s="279">
        <v>0</v>
      </c>
      <c r="G777" s="279">
        <v>0</v>
      </c>
      <c r="H777" s="279">
        <v>0</v>
      </c>
      <c r="I777" s="279">
        <v>0</v>
      </c>
      <c r="J777" s="324"/>
    </row>
    <row r="778" spans="2:10" ht="15" x14ac:dyDescent="0.25">
      <c r="B778" s="322" t="s">
        <v>317</v>
      </c>
      <c r="C778" s="306"/>
      <c r="D778" s="323">
        <f t="shared" ref="D778:I778" si="955">+D775*D770</f>
        <v>78391427.399999991</v>
      </c>
      <c r="E778" s="323">
        <f t="shared" si="955"/>
        <v>84215521.786499992</v>
      </c>
      <c r="F778" s="323">
        <f t="shared" si="955"/>
        <v>90733745.993435994</v>
      </c>
      <c r="G778" s="323">
        <f t="shared" si="955"/>
        <v>98326197.121340916</v>
      </c>
      <c r="H778" s="323">
        <f t="shared" si="955"/>
        <v>107164882.99500985</v>
      </c>
      <c r="I778" s="323">
        <f t="shared" si="955"/>
        <v>117469858.14381002</v>
      </c>
      <c r="J778" s="324"/>
    </row>
    <row r="779" spans="2:10" x14ac:dyDescent="0.2">
      <c r="B779" s="299" t="s">
        <v>321</v>
      </c>
      <c r="C779" s="306" t="s">
        <v>45</v>
      </c>
      <c r="D779" s="302">
        <f>+P113</f>
        <v>163</v>
      </c>
      <c r="E779" s="302">
        <f>+D779*(1+E780)*(1+E781)</f>
        <v>168.37899999999999</v>
      </c>
      <c r="F779" s="302">
        <f>+E779*(1+F780)*(1+F781)</f>
        <v>174.44064399999999</v>
      </c>
      <c r="G779" s="302">
        <f>+F779*(1+G780)*(1+G781)</f>
        <v>181.76715104799999</v>
      </c>
      <c r="H779" s="302">
        <f>+G779*(1+H780)*(1+H781)</f>
        <v>190.491974298304</v>
      </c>
      <c r="I779" s="302">
        <f>+H779*(1+I780)*(1+I781)</f>
        <v>200.77854091041243</v>
      </c>
    </row>
    <row r="780" spans="2:10" x14ac:dyDescent="0.2">
      <c r="B780" s="299" t="s">
        <v>318</v>
      </c>
      <c r="C780" s="306" t="s">
        <v>160</v>
      </c>
      <c r="D780" s="320"/>
      <c r="E780" s="321">
        <f>+$E$408</f>
        <v>3.3000000000000002E-2</v>
      </c>
      <c r="F780" s="321">
        <f>+$F$408</f>
        <v>3.5999999999999997E-2</v>
      </c>
      <c r="G780" s="321">
        <f>+$G$408</f>
        <v>4.2000000000000003E-2</v>
      </c>
      <c r="H780" s="321">
        <f>+$H$408</f>
        <v>4.8000000000000001E-2</v>
      </c>
      <c r="I780" s="321">
        <f>+$I$408</f>
        <v>5.3999999999999999E-2</v>
      </c>
    </row>
    <row r="781" spans="2:10" x14ac:dyDescent="0.2">
      <c r="B781" s="299" t="s">
        <v>305</v>
      </c>
      <c r="C781" s="300"/>
      <c r="D781" s="320"/>
      <c r="E781" s="279">
        <v>0</v>
      </c>
      <c r="F781" s="279">
        <v>0</v>
      </c>
      <c r="G781" s="279">
        <v>0</v>
      </c>
      <c r="H781" s="279">
        <v>0</v>
      </c>
      <c r="I781" s="279">
        <v>0</v>
      </c>
    </row>
    <row r="782" spans="2:10" ht="15" x14ac:dyDescent="0.25">
      <c r="B782" s="322" t="s">
        <v>317</v>
      </c>
      <c r="C782" s="306"/>
      <c r="D782" s="323">
        <f t="shared" ref="D782:I782" si="956">+D779*D770</f>
        <v>3831999.5999999996</v>
      </c>
      <c r="E782" s="323">
        <f t="shared" si="956"/>
        <v>4116698.1709999996</v>
      </c>
      <c r="F782" s="323">
        <f t="shared" si="956"/>
        <v>4435327.8143440001</v>
      </c>
      <c r="G782" s="323">
        <f t="shared" si="956"/>
        <v>4806468.7751622638</v>
      </c>
      <c r="H782" s="323">
        <f t="shared" si="956"/>
        <v>5238529.2932033604</v>
      </c>
      <c r="I782" s="323">
        <f t="shared" si="956"/>
        <v>5742266.2700377954</v>
      </c>
    </row>
    <row r="783" spans="2:10" x14ac:dyDescent="0.2">
      <c r="B783" s="316" t="str">
        <f>+Ingresos!B605</f>
        <v>Banano criollo</v>
      </c>
      <c r="C783" s="317"/>
      <c r="D783" s="318"/>
      <c r="E783" s="318"/>
      <c r="F783" s="318"/>
      <c r="G783" s="318"/>
      <c r="H783" s="318"/>
      <c r="I783" s="318"/>
      <c r="J783" s="324"/>
    </row>
    <row r="784" spans="2:10" x14ac:dyDescent="0.2">
      <c r="B784" s="299" t="s">
        <v>159</v>
      </c>
      <c r="C784" s="319"/>
      <c r="D784" s="302">
        <f>+P238</f>
        <v>2177.88</v>
      </c>
      <c r="E784" s="302">
        <f>+Ingresos!D606</f>
        <v>2264</v>
      </c>
      <c r="F784" s="302">
        <f>+Ingresos!E606</f>
        <v>2354</v>
      </c>
      <c r="G784" s="302">
        <f>+Ingresos!F606</f>
        <v>2448</v>
      </c>
      <c r="H784" s="302">
        <f>+Ingresos!G606</f>
        <v>2545</v>
      </c>
      <c r="I784" s="302">
        <f>+Ingresos!H606</f>
        <v>2646</v>
      </c>
      <c r="J784" s="324"/>
    </row>
    <row r="785" spans="2:10" x14ac:dyDescent="0.2">
      <c r="B785" s="299" t="s">
        <v>319</v>
      </c>
      <c r="C785" s="306" t="s">
        <v>45</v>
      </c>
      <c r="D785" s="302">
        <f>+P123</f>
        <v>0</v>
      </c>
      <c r="E785" s="302">
        <f>+D785*(1+E786)*(1+E787)</f>
        <v>0</v>
      </c>
      <c r="F785" s="302">
        <f>+E785*(1+F786)*(1+F787)</f>
        <v>0</v>
      </c>
      <c r="G785" s="302">
        <f>+F785*(1+G786)*(1+G787)</f>
        <v>0</v>
      </c>
      <c r="H785" s="302">
        <f>+G785*(1+H786)*(1+H787)</f>
        <v>0</v>
      </c>
      <c r="I785" s="302">
        <f>+H785*(1+I786)*(1+I787)</f>
        <v>0</v>
      </c>
      <c r="J785" s="324"/>
    </row>
    <row r="786" spans="2:10" x14ac:dyDescent="0.2">
      <c r="B786" s="299" t="s">
        <v>318</v>
      </c>
      <c r="C786" s="306" t="s">
        <v>160</v>
      </c>
      <c r="D786" s="320"/>
      <c r="E786" s="321">
        <f>+E772</f>
        <v>3.3000000000000002E-2</v>
      </c>
      <c r="F786" s="321">
        <f>F436</f>
        <v>3.5999999999999997E-2</v>
      </c>
      <c r="G786" s="321">
        <f>G436</f>
        <v>4.2000000000000003E-2</v>
      </c>
      <c r="H786" s="321">
        <f>H436</f>
        <v>4.8000000000000001E-2</v>
      </c>
      <c r="I786" s="321">
        <f>+$I$408</f>
        <v>5.3999999999999999E-2</v>
      </c>
      <c r="J786" s="324"/>
    </row>
    <row r="787" spans="2:10" x14ac:dyDescent="0.2">
      <c r="B787" s="299" t="s">
        <v>305</v>
      </c>
      <c r="C787" s="300"/>
      <c r="D787" s="320"/>
      <c r="E787" s="279">
        <v>0</v>
      </c>
      <c r="F787" s="279">
        <v>0</v>
      </c>
      <c r="G787" s="279">
        <v>0</v>
      </c>
      <c r="H787" s="279">
        <v>0</v>
      </c>
      <c r="I787" s="279">
        <v>0</v>
      </c>
      <c r="J787" s="324"/>
    </row>
    <row r="788" spans="2:10" ht="15" x14ac:dyDescent="0.25">
      <c r="B788" s="322" t="s">
        <v>317</v>
      </c>
      <c r="C788" s="306"/>
      <c r="D788" s="304">
        <f t="shared" ref="D788:I788" si="957">D784*D785</f>
        <v>0</v>
      </c>
      <c r="E788" s="304">
        <f t="shared" si="957"/>
        <v>0</v>
      </c>
      <c r="F788" s="304">
        <f t="shared" si="957"/>
        <v>0</v>
      </c>
      <c r="G788" s="304">
        <f t="shared" si="957"/>
        <v>0</v>
      </c>
      <c r="H788" s="304">
        <f t="shared" si="957"/>
        <v>0</v>
      </c>
      <c r="I788" s="304">
        <f t="shared" si="957"/>
        <v>0</v>
      </c>
      <c r="J788" s="324"/>
    </row>
    <row r="789" spans="2:10" x14ac:dyDescent="0.2">
      <c r="B789" s="299" t="s">
        <v>320</v>
      </c>
      <c r="C789" s="306" t="s">
        <v>45</v>
      </c>
      <c r="D789" s="302">
        <f>+P125</f>
        <v>0</v>
      </c>
      <c r="E789" s="302">
        <f>+D789*(1+E790)*(1+E791)</f>
        <v>0</v>
      </c>
      <c r="F789" s="302">
        <f>+E789*(1+F790)*(1+F791)</f>
        <v>0</v>
      </c>
      <c r="G789" s="302">
        <f>+F789*(1+G790)*(1+G791)</f>
        <v>0</v>
      </c>
      <c r="H789" s="302">
        <f>+G789*(1+H790)*(1+H791)</f>
        <v>0</v>
      </c>
      <c r="I789" s="302">
        <f>+H789*(1+I790)*(1+I791)</f>
        <v>0</v>
      </c>
      <c r="J789" s="324"/>
    </row>
    <row r="790" spans="2:10" x14ac:dyDescent="0.2">
      <c r="B790" s="299" t="s">
        <v>318</v>
      </c>
      <c r="C790" s="306" t="s">
        <v>160</v>
      </c>
      <c r="D790" s="320"/>
      <c r="E790" s="321">
        <f>+$E$408</f>
        <v>3.3000000000000002E-2</v>
      </c>
      <c r="F790" s="321">
        <f>+$F$408</f>
        <v>3.5999999999999997E-2</v>
      </c>
      <c r="G790" s="321">
        <f>+$G$408</f>
        <v>4.2000000000000003E-2</v>
      </c>
      <c r="H790" s="321">
        <f>+$H$408</f>
        <v>4.8000000000000001E-2</v>
      </c>
      <c r="I790" s="321">
        <f>+$I$408</f>
        <v>5.3999999999999999E-2</v>
      </c>
      <c r="J790" s="324"/>
    </row>
    <row r="791" spans="2:10" x14ac:dyDescent="0.2">
      <c r="B791" s="299" t="s">
        <v>305</v>
      </c>
      <c r="C791" s="300"/>
      <c r="D791" s="320"/>
      <c r="E791" s="279">
        <v>0</v>
      </c>
      <c r="F791" s="279">
        <v>0</v>
      </c>
      <c r="G791" s="279">
        <v>0</v>
      </c>
      <c r="H791" s="279">
        <v>0</v>
      </c>
      <c r="I791" s="279">
        <v>0</v>
      </c>
      <c r="J791" s="324"/>
    </row>
    <row r="792" spans="2:10" ht="15" x14ac:dyDescent="0.25">
      <c r="B792" s="322" t="s">
        <v>317</v>
      </c>
      <c r="C792" s="306"/>
      <c r="D792" s="323">
        <f t="shared" ref="D792:I792" si="958">+D789*D784</f>
        <v>0</v>
      </c>
      <c r="E792" s="323">
        <f t="shared" si="958"/>
        <v>0</v>
      </c>
      <c r="F792" s="323">
        <f t="shared" si="958"/>
        <v>0</v>
      </c>
      <c r="G792" s="323">
        <f t="shared" si="958"/>
        <v>0</v>
      </c>
      <c r="H792" s="323">
        <f t="shared" si="958"/>
        <v>0</v>
      </c>
      <c r="I792" s="323">
        <f t="shared" si="958"/>
        <v>0</v>
      </c>
      <c r="J792" s="324"/>
    </row>
    <row r="793" spans="2:10" x14ac:dyDescent="0.2">
      <c r="B793" s="299" t="s">
        <v>321</v>
      </c>
      <c r="C793" s="306" t="s">
        <v>45</v>
      </c>
      <c r="D793" s="302">
        <f>+P127</f>
        <v>1089.049</v>
      </c>
      <c r="E793" s="302">
        <f>+D793*(1+E794)*(1+E795)</f>
        <v>1124.987617</v>
      </c>
      <c r="F793" s="302">
        <f>+E793*(1+F794)*(1+F795)</f>
        <v>1165.487171212</v>
      </c>
      <c r="G793" s="302">
        <f>+F793*(1+G794)*(1+G795)</f>
        <v>1214.437632402904</v>
      </c>
      <c r="H793" s="302">
        <f>+G793*(1+H794)*(1+H795)</f>
        <v>1272.7306387582435</v>
      </c>
      <c r="I793" s="302">
        <f>+H793*(1+I794)*(1+I795)</f>
        <v>1341.4580932511888</v>
      </c>
    </row>
    <row r="794" spans="2:10" x14ac:dyDescent="0.2">
      <c r="B794" s="299" t="s">
        <v>318</v>
      </c>
      <c r="C794" s="306" t="s">
        <v>160</v>
      </c>
      <c r="D794" s="320"/>
      <c r="E794" s="321">
        <f>+$E$408</f>
        <v>3.3000000000000002E-2</v>
      </c>
      <c r="F794" s="321">
        <f>+$F$408</f>
        <v>3.5999999999999997E-2</v>
      </c>
      <c r="G794" s="321">
        <f>+$G$408</f>
        <v>4.2000000000000003E-2</v>
      </c>
      <c r="H794" s="321">
        <f>+$H$408</f>
        <v>4.8000000000000001E-2</v>
      </c>
      <c r="I794" s="321">
        <f>+$I$408</f>
        <v>5.3999999999999999E-2</v>
      </c>
    </row>
    <row r="795" spans="2:10" x14ac:dyDescent="0.2">
      <c r="B795" s="299" t="s">
        <v>305</v>
      </c>
      <c r="C795" s="300"/>
      <c r="D795" s="320"/>
      <c r="E795" s="279">
        <v>0</v>
      </c>
      <c r="F795" s="279">
        <v>0</v>
      </c>
      <c r="G795" s="279">
        <v>0</v>
      </c>
      <c r="H795" s="279">
        <v>0</v>
      </c>
      <c r="I795" s="279">
        <v>0</v>
      </c>
    </row>
    <row r="796" spans="2:10" ht="15" x14ac:dyDescent="0.25">
      <c r="B796" s="322" t="s">
        <v>317</v>
      </c>
      <c r="C796" s="306"/>
      <c r="D796" s="323">
        <f t="shared" ref="D796:I796" si="959">+D793*D784</f>
        <v>2371818.0361200003</v>
      </c>
      <c r="E796" s="323">
        <f t="shared" si="959"/>
        <v>2546971.9648879999</v>
      </c>
      <c r="F796" s="323">
        <f t="shared" si="959"/>
        <v>2743556.801033048</v>
      </c>
      <c r="G796" s="323">
        <f t="shared" si="959"/>
        <v>2972943.3241223092</v>
      </c>
      <c r="H796" s="323">
        <f t="shared" si="959"/>
        <v>3239099.4756397298</v>
      </c>
      <c r="I796" s="323">
        <f t="shared" si="959"/>
        <v>3549498.1147426455</v>
      </c>
    </row>
    <row r="797" spans="2:10" x14ac:dyDescent="0.2">
      <c r="B797" s="316" t="str">
        <f>+Ingresos!B613</f>
        <v>Coco San Blas</v>
      </c>
      <c r="C797" s="317"/>
      <c r="D797" s="318"/>
      <c r="E797" s="318"/>
      <c r="F797" s="318"/>
      <c r="G797" s="318"/>
      <c r="H797" s="318"/>
      <c r="I797" s="318"/>
      <c r="J797" s="324"/>
    </row>
    <row r="798" spans="2:10" x14ac:dyDescent="0.2">
      <c r="B798" s="299" t="s">
        <v>159</v>
      </c>
      <c r="C798" s="319"/>
      <c r="D798" s="302">
        <f>+P246</f>
        <v>574.91999999999985</v>
      </c>
      <c r="E798" s="302">
        <f>+Ingresos!D614</f>
        <v>597</v>
      </c>
      <c r="F798" s="302">
        <f>+Ingresos!E614</f>
        <v>620</v>
      </c>
      <c r="G798" s="302">
        <f>+Ingresos!F614</f>
        <v>644</v>
      </c>
      <c r="H798" s="302">
        <f>+Ingresos!G614</f>
        <v>669</v>
      </c>
      <c r="I798" s="302">
        <f>+Ingresos!H614</f>
        <v>695</v>
      </c>
      <c r="J798" s="324"/>
    </row>
    <row r="799" spans="2:10" x14ac:dyDescent="0.2">
      <c r="B799" s="299" t="s">
        <v>319</v>
      </c>
      <c r="C799" s="306" t="s">
        <v>45</v>
      </c>
      <c r="D799" s="302">
        <f>+P137</f>
        <v>71.13</v>
      </c>
      <c r="E799" s="302">
        <f>+D799*(1+E800)*(1+E801)</f>
        <v>73.477289999999996</v>
      </c>
      <c r="F799" s="302">
        <f>+E799*(1+F800)*(1+F801)</f>
        <v>76.122472439999996</v>
      </c>
      <c r="G799" s="302">
        <f>+F799*(1+G800)*(1+G801)</f>
        <v>79.319616282479998</v>
      </c>
      <c r="H799" s="302">
        <f>+G799*(1+H800)*(1+H801)</f>
        <v>83.126957864039042</v>
      </c>
      <c r="I799" s="302">
        <f>+H799*(1+I800)*(1+I801)</f>
        <v>87.615813588697151</v>
      </c>
      <c r="J799" s="324"/>
    </row>
    <row r="800" spans="2:10" x14ac:dyDescent="0.2">
      <c r="B800" s="299" t="s">
        <v>318</v>
      </c>
      <c r="C800" s="306" t="s">
        <v>160</v>
      </c>
      <c r="D800" s="320"/>
      <c r="E800" s="321">
        <f>+E786</f>
        <v>3.3000000000000002E-2</v>
      </c>
      <c r="F800" s="321">
        <f>F450</f>
        <v>3.5999999999999997E-2</v>
      </c>
      <c r="G800" s="321">
        <f>G450</f>
        <v>4.2000000000000003E-2</v>
      </c>
      <c r="H800" s="321">
        <f>H450</f>
        <v>4.8000000000000001E-2</v>
      </c>
      <c r="I800" s="321">
        <f>+$I$408</f>
        <v>5.3999999999999999E-2</v>
      </c>
      <c r="J800" s="324"/>
    </row>
    <row r="801" spans="2:10" x14ac:dyDescent="0.2">
      <c r="B801" s="299" t="s">
        <v>305</v>
      </c>
      <c r="C801" s="300"/>
      <c r="D801" s="320"/>
      <c r="E801" s="279">
        <v>0</v>
      </c>
      <c r="F801" s="279">
        <v>0</v>
      </c>
      <c r="G801" s="279">
        <v>0</v>
      </c>
      <c r="H801" s="279">
        <v>0</v>
      </c>
      <c r="I801" s="279">
        <v>0</v>
      </c>
      <c r="J801" s="324"/>
    </row>
    <row r="802" spans="2:10" ht="15" x14ac:dyDescent="0.25">
      <c r="B802" s="322" t="s">
        <v>317</v>
      </c>
      <c r="C802" s="306"/>
      <c r="D802" s="304">
        <f t="shared" ref="D802:I802" si="960">D798*D799</f>
        <v>40894.059599999986</v>
      </c>
      <c r="E802" s="304">
        <f t="shared" si="960"/>
        <v>43865.942129999996</v>
      </c>
      <c r="F802" s="304">
        <f t="shared" si="960"/>
        <v>47195.932912799995</v>
      </c>
      <c r="G802" s="304">
        <f t="shared" si="960"/>
        <v>51081.832885917116</v>
      </c>
      <c r="H802" s="304">
        <f t="shared" si="960"/>
        <v>55611.93481104212</v>
      </c>
      <c r="I802" s="304">
        <f t="shared" si="960"/>
        <v>60892.990444144518</v>
      </c>
      <c r="J802" s="324"/>
    </row>
    <row r="803" spans="2:10" x14ac:dyDescent="0.2">
      <c r="B803" s="299" t="s">
        <v>320</v>
      </c>
      <c r="C803" s="306" t="s">
        <v>45</v>
      </c>
      <c r="D803" s="302">
        <f>+P139</f>
        <v>0</v>
      </c>
      <c r="E803" s="302">
        <f>+D803*(1+E804)*(1+E805)</f>
        <v>0</v>
      </c>
      <c r="F803" s="302">
        <f>+E803*(1+F804)*(1+F805)</f>
        <v>0</v>
      </c>
      <c r="G803" s="302">
        <f>+F803*(1+G804)*(1+G805)</f>
        <v>0</v>
      </c>
      <c r="H803" s="302">
        <f>+G803*(1+H804)*(1+H805)</f>
        <v>0</v>
      </c>
      <c r="I803" s="302">
        <f>+H803*(1+I804)*(1+I805)</f>
        <v>0</v>
      </c>
      <c r="J803" s="324"/>
    </row>
    <row r="804" spans="2:10" x14ac:dyDescent="0.2">
      <c r="B804" s="299" t="s">
        <v>318</v>
      </c>
      <c r="C804" s="306" t="s">
        <v>160</v>
      </c>
      <c r="D804" s="320"/>
      <c r="E804" s="321">
        <f>+$E$408</f>
        <v>3.3000000000000002E-2</v>
      </c>
      <c r="F804" s="321">
        <f>+$F$408</f>
        <v>3.5999999999999997E-2</v>
      </c>
      <c r="G804" s="321">
        <f>+$G$408</f>
        <v>4.2000000000000003E-2</v>
      </c>
      <c r="H804" s="321">
        <f>+$H$408</f>
        <v>4.8000000000000001E-2</v>
      </c>
      <c r="I804" s="321">
        <f>+$I$408</f>
        <v>5.3999999999999999E-2</v>
      </c>
      <c r="J804" s="324"/>
    </row>
    <row r="805" spans="2:10" x14ac:dyDescent="0.2">
      <c r="B805" s="299" t="s">
        <v>305</v>
      </c>
      <c r="C805" s="300"/>
      <c r="D805" s="320"/>
      <c r="E805" s="279">
        <v>0</v>
      </c>
      <c r="F805" s="279">
        <v>0</v>
      </c>
      <c r="G805" s="279">
        <v>0</v>
      </c>
      <c r="H805" s="279">
        <v>0</v>
      </c>
      <c r="I805" s="279">
        <v>0</v>
      </c>
      <c r="J805" s="324"/>
    </row>
    <row r="806" spans="2:10" ht="15" x14ac:dyDescent="0.25">
      <c r="B806" s="322" t="s">
        <v>317</v>
      </c>
      <c r="C806" s="306"/>
      <c r="D806" s="323">
        <f t="shared" ref="D806:I806" si="961">+D803*D798</f>
        <v>0</v>
      </c>
      <c r="E806" s="323">
        <f t="shared" si="961"/>
        <v>0</v>
      </c>
      <c r="F806" s="323">
        <f t="shared" si="961"/>
        <v>0</v>
      </c>
      <c r="G806" s="323">
        <f t="shared" si="961"/>
        <v>0</v>
      </c>
      <c r="H806" s="323">
        <f t="shared" si="961"/>
        <v>0</v>
      </c>
      <c r="I806" s="323">
        <f t="shared" si="961"/>
        <v>0</v>
      </c>
      <c r="J806" s="324"/>
    </row>
    <row r="807" spans="2:10" x14ac:dyDescent="0.2">
      <c r="B807" s="299" t="s">
        <v>321</v>
      </c>
      <c r="C807" s="306" t="s">
        <v>45</v>
      </c>
      <c r="D807" s="302">
        <f>+P141</f>
        <v>0</v>
      </c>
      <c r="E807" s="302">
        <f>+D807*(1+E808)*(1+E809)</f>
        <v>0</v>
      </c>
      <c r="F807" s="302">
        <f>+E807*(1+F808)*(1+F809)</f>
        <v>0</v>
      </c>
      <c r="G807" s="302">
        <f>+F807*(1+G808)*(1+G809)</f>
        <v>0</v>
      </c>
      <c r="H807" s="302">
        <f>+G807*(1+H808)*(1+H809)</f>
        <v>0</v>
      </c>
      <c r="I807" s="302">
        <f>+H807*(1+I808)*(1+I809)</f>
        <v>0</v>
      </c>
    </row>
    <row r="808" spans="2:10" x14ac:dyDescent="0.2">
      <c r="B808" s="299" t="s">
        <v>318</v>
      </c>
      <c r="C808" s="306" t="s">
        <v>160</v>
      </c>
      <c r="D808" s="320"/>
      <c r="E808" s="321">
        <f>+$E$408</f>
        <v>3.3000000000000002E-2</v>
      </c>
      <c r="F808" s="321">
        <f>+$F$408</f>
        <v>3.5999999999999997E-2</v>
      </c>
      <c r="G808" s="321">
        <f>+$G$408</f>
        <v>4.2000000000000003E-2</v>
      </c>
      <c r="H808" s="321">
        <f>+$H$408</f>
        <v>4.8000000000000001E-2</v>
      </c>
      <c r="I808" s="321">
        <f>+$I$408</f>
        <v>5.3999999999999999E-2</v>
      </c>
    </row>
    <row r="809" spans="2:10" x14ac:dyDescent="0.2">
      <c r="B809" s="299" t="s">
        <v>305</v>
      </c>
      <c r="C809" s="300"/>
      <c r="D809" s="320"/>
      <c r="E809" s="279">
        <v>0</v>
      </c>
      <c r="F809" s="279">
        <v>0</v>
      </c>
      <c r="G809" s="279">
        <v>0</v>
      </c>
      <c r="H809" s="279">
        <v>0</v>
      </c>
      <c r="I809" s="279">
        <v>0</v>
      </c>
    </row>
    <row r="810" spans="2:10" ht="15" x14ac:dyDescent="0.25">
      <c r="B810" s="322" t="s">
        <v>317</v>
      </c>
      <c r="C810" s="306"/>
      <c r="D810" s="323">
        <f t="shared" ref="D810:I810" si="962">+D807*D798</f>
        <v>0</v>
      </c>
      <c r="E810" s="323">
        <f t="shared" si="962"/>
        <v>0</v>
      </c>
      <c r="F810" s="323">
        <f t="shared" si="962"/>
        <v>0</v>
      </c>
      <c r="G810" s="323">
        <f t="shared" si="962"/>
        <v>0</v>
      </c>
      <c r="H810" s="323">
        <f t="shared" si="962"/>
        <v>0</v>
      </c>
      <c r="I810" s="323">
        <f t="shared" si="962"/>
        <v>0</v>
      </c>
    </row>
    <row r="811" spans="2:10" x14ac:dyDescent="0.2">
      <c r="B811" s="316" t="str">
        <f>+Ingresos!B621</f>
        <v>Fresa</v>
      </c>
      <c r="C811" s="317"/>
      <c r="D811" s="318"/>
      <c r="E811" s="318"/>
      <c r="F811" s="318"/>
      <c r="G811" s="318"/>
      <c r="H811" s="318"/>
      <c r="I811" s="318"/>
      <c r="J811" s="324"/>
    </row>
    <row r="812" spans="2:10" x14ac:dyDescent="0.2">
      <c r="B812" s="299" t="s">
        <v>159</v>
      </c>
      <c r="C812" s="319"/>
      <c r="D812" s="302">
        <f>+P254</f>
        <v>4227.96</v>
      </c>
      <c r="E812" s="302">
        <f>+Ingresos!D622</f>
        <v>4397</v>
      </c>
      <c r="F812" s="302">
        <f>+Ingresos!E622</f>
        <v>4572</v>
      </c>
      <c r="G812" s="302">
        <f>+Ingresos!F622</f>
        <v>4754</v>
      </c>
      <c r="H812" s="302">
        <f>+Ingresos!G622</f>
        <v>4944</v>
      </c>
      <c r="I812" s="302">
        <f>+Ingresos!H622</f>
        <v>5141</v>
      </c>
      <c r="J812" s="324"/>
    </row>
    <row r="813" spans="2:10" x14ac:dyDescent="0.2">
      <c r="B813" s="299" t="s">
        <v>319</v>
      </c>
      <c r="C813" s="306" t="s">
        <v>45</v>
      </c>
      <c r="D813" s="302">
        <f>+P151</f>
        <v>1934.0100000000002</v>
      </c>
      <c r="E813" s="302">
        <f>+D813*(1+E814)*(1+E815)</f>
        <v>1997.83233</v>
      </c>
      <c r="F813" s="302">
        <f>+E813*(1+F814)*(1+F815)</f>
        <v>2069.7542938800002</v>
      </c>
      <c r="G813" s="302">
        <f>+F813*(1+G814)*(1+G815)</f>
        <v>2156.6839742229604</v>
      </c>
      <c r="H813" s="302">
        <f>+G813*(1+H814)*(1+H815)</f>
        <v>2260.2048049856626</v>
      </c>
      <c r="I813" s="302">
        <f>+H813*(1+I814)*(1+I815)</f>
        <v>2382.2558644548885</v>
      </c>
      <c r="J813" s="324"/>
    </row>
    <row r="814" spans="2:10" x14ac:dyDescent="0.2">
      <c r="B814" s="299" t="s">
        <v>318</v>
      </c>
      <c r="C814" s="306" t="s">
        <v>160</v>
      </c>
      <c r="D814" s="320"/>
      <c r="E814" s="321">
        <f>+E800</f>
        <v>3.3000000000000002E-2</v>
      </c>
      <c r="F814" s="321">
        <f>F464</f>
        <v>3.5999999999999997E-2</v>
      </c>
      <c r="G814" s="321">
        <f>G464</f>
        <v>4.2000000000000003E-2</v>
      </c>
      <c r="H814" s="321">
        <f>H464</f>
        <v>4.8000000000000001E-2</v>
      </c>
      <c r="I814" s="321">
        <f>+$I$408</f>
        <v>5.3999999999999999E-2</v>
      </c>
      <c r="J814" s="324"/>
    </row>
    <row r="815" spans="2:10" x14ac:dyDescent="0.2">
      <c r="B815" s="299" t="s">
        <v>305</v>
      </c>
      <c r="C815" s="300"/>
      <c r="D815" s="320"/>
      <c r="E815" s="279">
        <v>0</v>
      </c>
      <c r="F815" s="279">
        <v>0</v>
      </c>
      <c r="G815" s="279">
        <v>0</v>
      </c>
      <c r="H815" s="279">
        <v>0</v>
      </c>
      <c r="I815" s="279">
        <v>0</v>
      </c>
      <c r="J815" s="324"/>
    </row>
    <row r="816" spans="2:10" ht="15" x14ac:dyDescent="0.25">
      <c r="B816" s="322" t="s">
        <v>317</v>
      </c>
      <c r="C816" s="306"/>
      <c r="D816" s="304">
        <f t="shared" ref="D816:I816" si="963">D812*D813</f>
        <v>8176916.9196000006</v>
      </c>
      <c r="E816" s="304">
        <f t="shared" si="963"/>
        <v>8784468.7550099995</v>
      </c>
      <c r="F816" s="304">
        <f t="shared" si="963"/>
        <v>9462916.6316193603</v>
      </c>
      <c r="G816" s="304">
        <f t="shared" si="963"/>
        <v>10252875.613455953</v>
      </c>
      <c r="H816" s="304">
        <f t="shared" si="963"/>
        <v>11174452.555849116</v>
      </c>
      <c r="I816" s="304">
        <f t="shared" si="963"/>
        <v>12247177.399162581</v>
      </c>
      <c r="J816" s="324"/>
    </row>
    <row r="817" spans="2:10" x14ac:dyDescent="0.2">
      <c r="B817" s="299" t="s">
        <v>320</v>
      </c>
      <c r="C817" s="306" t="s">
        <v>45</v>
      </c>
      <c r="D817" s="302">
        <f>+P153</f>
        <v>249.66</v>
      </c>
      <c r="E817" s="302">
        <f>+D817*(1+E818)*(1+E819)</f>
        <v>257.89877999999999</v>
      </c>
      <c r="F817" s="302">
        <f>+E817*(1+F818)*(1+F819)</f>
        <v>267.18313608</v>
      </c>
      <c r="G817" s="302">
        <f>+F817*(1+G818)*(1+G819)</f>
        <v>278.40482779536001</v>
      </c>
      <c r="H817" s="302">
        <f>+G817*(1+H818)*(1+H819)</f>
        <v>291.76825952953732</v>
      </c>
      <c r="I817" s="302">
        <f>+H817*(1+I818)*(1+I819)</f>
        <v>307.52374554413234</v>
      </c>
      <c r="J817" s="324"/>
    </row>
    <row r="818" spans="2:10" x14ac:dyDescent="0.2">
      <c r="B818" s="299" t="s">
        <v>318</v>
      </c>
      <c r="C818" s="306" t="s">
        <v>160</v>
      </c>
      <c r="D818" s="320"/>
      <c r="E818" s="321">
        <f>+$E$408</f>
        <v>3.3000000000000002E-2</v>
      </c>
      <c r="F818" s="321">
        <f>+$F$408</f>
        <v>3.5999999999999997E-2</v>
      </c>
      <c r="G818" s="321">
        <f>+$G$408</f>
        <v>4.2000000000000003E-2</v>
      </c>
      <c r="H818" s="321">
        <f>+$H$408</f>
        <v>4.8000000000000001E-2</v>
      </c>
      <c r="I818" s="321">
        <f>+$I$408</f>
        <v>5.3999999999999999E-2</v>
      </c>
      <c r="J818" s="324"/>
    </row>
    <row r="819" spans="2:10" x14ac:dyDescent="0.2">
      <c r="B819" s="299" t="s">
        <v>305</v>
      </c>
      <c r="C819" s="300"/>
      <c r="D819" s="320"/>
      <c r="E819" s="279">
        <v>0</v>
      </c>
      <c r="F819" s="279">
        <v>0</v>
      </c>
      <c r="G819" s="279">
        <v>0</v>
      </c>
      <c r="H819" s="279">
        <v>0</v>
      </c>
      <c r="I819" s="279">
        <v>0</v>
      </c>
      <c r="J819" s="324"/>
    </row>
    <row r="820" spans="2:10" ht="15" x14ac:dyDescent="0.25">
      <c r="B820" s="322" t="s">
        <v>317</v>
      </c>
      <c r="C820" s="306"/>
      <c r="D820" s="323">
        <f t="shared" ref="D820:I820" si="964">+D817*D812</f>
        <v>1055552.4935999999</v>
      </c>
      <c r="E820" s="323">
        <f t="shared" si="964"/>
        <v>1133980.93566</v>
      </c>
      <c r="F820" s="323">
        <f t="shared" si="964"/>
        <v>1221561.2981577599</v>
      </c>
      <c r="G820" s="323">
        <f t="shared" si="964"/>
        <v>1323536.5513391416</v>
      </c>
      <c r="H820" s="323">
        <f t="shared" si="964"/>
        <v>1442502.2751140324</v>
      </c>
      <c r="I820" s="323">
        <f t="shared" si="964"/>
        <v>1580979.5758423842</v>
      </c>
      <c r="J820" s="324"/>
    </row>
    <row r="821" spans="2:10" x14ac:dyDescent="0.2">
      <c r="B821" s="299" t="s">
        <v>321</v>
      </c>
      <c r="C821" s="306" t="s">
        <v>45</v>
      </c>
      <c r="D821" s="302">
        <f>+P155</f>
        <v>0</v>
      </c>
      <c r="E821" s="302">
        <f>+D821*(1+E822)*(1+E823)</f>
        <v>0</v>
      </c>
      <c r="F821" s="302">
        <f>+E821*(1+F822)*(1+F823)</f>
        <v>0</v>
      </c>
      <c r="G821" s="302">
        <f>+F821*(1+G822)*(1+G823)</f>
        <v>0</v>
      </c>
      <c r="H821" s="302">
        <f>+G821*(1+H822)*(1+H823)</f>
        <v>0</v>
      </c>
      <c r="I821" s="302">
        <f>+H821*(1+I822)*(1+I823)</f>
        <v>0</v>
      </c>
    </row>
    <row r="822" spans="2:10" x14ac:dyDescent="0.2">
      <c r="B822" s="299" t="s">
        <v>318</v>
      </c>
      <c r="C822" s="306" t="s">
        <v>160</v>
      </c>
      <c r="D822" s="320"/>
      <c r="E822" s="321">
        <f>+$E$408</f>
        <v>3.3000000000000002E-2</v>
      </c>
      <c r="F822" s="321">
        <f>+$F$408</f>
        <v>3.5999999999999997E-2</v>
      </c>
      <c r="G822" s="321">
        <f>+$G$408</f>
        <v>4.2000000000000003E-2</v>
      </c>
      <c r="H822" s="321">
        <f>+$H$408</f>
        <v>4.8000000000000001E-2</v>
      </c>
      <c r="I822" s="321">
        <f>+$I$408</f>
        <v>5.3999999999999999E-2</v>
      </c>
    </row>
    <row r="823" spans="2:10" x14ac:dyDescent="0.2">
      <c r="B823" s="299" t="s">
        <v>305</v>
      </c>
      <c r="C823" s="300"/>
      <c r="D823" s="320"/>
      <c r="E823" s="279">
        <v>0</v>
      </c>
      <c r="F823" s="279">
        <v>0</v>
      </c>
      <c r="G823" s="279">
        <v>0</v>
      </c>
      <c r="H823" s="279">
        <v>0</v>
      </c>
      <c r="I823" s="279">
        <v>0</v>
      </c>
    </row>
    <row r="824" spans="2:10" ht="15" x14ac:dyDescent="0.25">
      <c r="B824" s="322" t="s">
        <v>317</v>
      </c>
      <c r="C824" s="306"/>
      <c r="D824" s="323">
        <f t="shared" ref="D824:I824" si="965">+D821*D812</f>
        <v>0</v>
      </c>
      <c r="E824" s="323">
        <f t="shared" si="965"/>
        <v>0</v>
      </c>
      <c r="F824" s="323">
        <f t="shared" si="965"/>
        <v>0</v>
      </c>
      <c r="G824" s="323">
        <f t="shared" si="965"/>
        <v>0</v>
      </c>
      <c r="H824" s="323">
        <f t="shared" si="965"/>
        <v>0</v>
      </c>
      <c r="I824" s="323">
        <f t="shared" si="965"/>
        <v>0</v>
      </c>
    </row>
    <row r="825" spans="2:10" x14ac:dyDescent="0.2">
      <c r="B825" s="316" t="str">
        <f>+Ingresos!B629</f>
        <v>Granadilla</v>
      </c>
      <c r="C825" s="317"/>
      <c r="D825" s="318"/>
      <c r="E825" s="318"/>
      <c r="F825" s="318"/>
      <c r="G825" s="318"/>
      <c r="H825" s="318"/>
      <c r="I825" s="318"/>
      <c r="J825" s="324"/>
    </row>
    <row r="826" spans="2:10" x14ac:dyDescent="0.2">
      <c r="B826" s="299" t="s">
        <v>159</v>
      </c>
      <c r="C826" s="319"/>
      <c r="D826" s="302">
        <f>+P262</f>
        <v>929.16000000000031</v>
      </c>
      <c r="E826" s="302">
        <f>+Ingresos!D630</f>
        <v>966</v>
      </c>
      <c r="F826" s="302">
        <f>+Ingresos!E630</f>
        <v>1004</v>
      </c>
      <c r="G826" s="302">
        <f>+Ingresos!F630</f>
        <v>1044</v>
      </c>
      <c r="H826" s="302">
        <f>+Ingresos!G630</f>
        <v>1085</v>
      </c>
      <c r="I826" s="302">
        <f>+Ingresos!H630</f>
        <v>1128</v>
      </c>
      <c r="J826" s="324"/>
    </row>
    <row r="827" spans="2:10" x14ac:dyDescent="0.2">
      <c r="B827" s="299" t="s">
        <v>319</v>
      </c>
      <c r="C827" s="306" t="s">
        <v>45</v>
      </c>
      <c r="D827" s="302">
        <f>+P165</f>
        <v>0</v>
      </c>
      <c r="E827" s="302">
        <f>+D827*(1+E828)*(1+E829)</f>
        <v>0</v>
      </c>
      <c r="F827" s="302">
        <f>+E827*(1+F828)*(1+F829)</f>
        <v>0</v>
      </c>
      <c r="G827" s="302">
        <f>+F827*(1+G828)*(1+G829)</f>
        <v>0</v>
      </c>
      <c r="H827" s="302">
        <f>+G827*(1+H828)*(1+H829)</f>
        <v>0</v>
      </c>
      <c r="I827" s="302">
        <f>+H827*(1+I828)*(1+I829)</f>
        <v>0</v>
      </c>
      <c r="J827" s="324"/>
    </row>
    <row r="828" spans="2:10" x14ac:dyDescent="0.2">
      <c r="B828" s="299" t="s">
        <v>318</v>
      </c>
      <c r="C828" s="306" t="s">
        <v>160</v>
      </c>
      <c r="D828" s="320"/>
      <c r="E828" s="321">
        <f>+E814</f>
        <v>3.3000000000000002E-2</v>
      </c>
      <c r="F828" s="321">
        <f>F478</f>
        <v>3.5999999999999997E-2</v>
      </c>
      <c r="G828" s="321">
        <f>G478</f>
        <v>4.2000000000000003E-2</v>
      </c>
      <c r="H828" s="321">
        <f>H478</f>
        <v>4.8000000000000001E-2</v>
      </c>
      <c r="I828" s="321">
        <f>+$I$408</f>
        <v>5.3999999999999999E-2</v>
      </c>
      <c r="J828" s="324"/>
    </row>
    <row r="829" spans="2:10" x14ac:dyDescent="0.2">
      <c r="B829" s="299" t="s">
        <v>305</v>
      </c>
      <c r="C829" s="300"/>
      <c r="D829" s="320"/>
      <c r="E829" s="279">
        <v>0</v>
      </c>
      <c r="F829" s="279">
        <v>0</v>
      </c>
      <c r="G829" s="279">
        <v>0</v>
      </c>
      <c r="H829" s="279">
        <v>0</v>
      </c>
      <c r="I829" s="279">
        <v>0</v>
      </c>
      <c r="J829" s="324"/>
    </row>
    <row r="830" spans="2:10" ht="15" x14ac:dyDescent="0.25">
      <c r="B830" s="322" t="s">
        <v>317</v>
      </c>
      <c r="C830" s="306"/>
      <c r="D830" s="304">
        <f t="shared" ref="D830:I830" si="966">D826*D827</f>
        <v>0</v>
      </c>
      <c r="E830" s="304">
        <f t="shared" si="966"/>
        <v>0</v>
      </c>
      <c r="F830" s="304">
        <f t="shared" si="966"/>
        <v>0</v>
      </c>
      <c r="G830" s="304">
        <f t="shared" si="966"/>
        <v>0</v>
      </c>
      <c r="H830" s="304">
        <f t="shared" si="966"/>
        <v>0</v>
      </c>
      <c r="I830" s="304">
        <f t="shared" si="966"/>
        <v>0</v>
      </c>
      <c r="J830" s="324"/>
    </row>
    <row r="831" spans="2:10" x14ac:dyDescent="0.2">
      <c r="B831" s="299" t="s">
        <v>320</v>
      </c>
      <c r="C831" s="306" t="s">
        <v>45</v>
      </c>
      <c r="D831" s="302">
        <f>+P167</f>
        <v>2000.7</v>
      </c>
      <c r="E831" s="302">
        <f>+D831*(1+E832)*(1+E833)</f>
        <v>2066.7230999999997</v>
      </c>
      <c r="F831" s="302">
        <f>+E831*(1+F832)*(1+F833)</f>
        <v>2141.1251315999998</v>
      </c>
      <c r="G831" s="302">
        <f>+F831*(1+G832)*(1+G833)</f>
        <v>2231.0523871271998</v>
      </c>
      <c r="H831" s="302">
        <f>+G831*(1+H832)*(1+H833)</f>
        <v>2338.1429017093055</v>
      </c>
      <c r="I831" s="302">
        <f>+H831*(1+I832)*(1+I833)</f>
        <v>2464.4026184016079</v>
      </c>
      <c r="J831" s="324"/>
    </row>
    <row r="832" spans="2:10" x14ac:dyDescent="0.2">
      <c r="B832" s="299" t="s">
        <v>318</v>
      </c>
      <c r="C832" s="306" t="s">
        <v>160</v>
      </c>
      <c r="D832" s="320"/>
      <c r="E832" s="321">
        <f>+$E$408</f>
        <v>3.3000000000000002E-2</v>
      </c>
      <c r="F832" s="321">
        <f>+$F$408</f>
        <v>3.5999999999999997E-2</v>
      </c>
      <c r="G832" s="321">
        <f>+$G$408</f>
        <v>4.2000000000000003E-2</v>
      </c>
      <c r="H832" s="321">
        <f>+$H$408</f>
        <v>4.8000000000000001E-2</v>
      </c>
      <c r="I832" s="321">
        <f>+$I$408</f>
        <v>5.3999999999999999E-2</v>
      </c>
      <c r="J832" s="324"/>
    </row>
    <row r="833" spans="2:10" x14ac:dyDescent="0.2">
      <c r="B833" s="299" t="s">
        <v>305</v>
      </c>
      <c r="C833" s="300"/>
      <c r="D833" s="320"/>
      <c r="E833" s="279">
        <v>0</v>
      </c>
      <c r="F833" s="279">
        <v>0</v>
      </c>
      <c r="G833" s="279">
        <v>0</v>
      </c>
      <c r="H833" s="279">
        <v>0</v>
      </c>
      <c r="I833" s="279">
        <v>0</v>
      </c>
      <c r="J833" s="324"/>
    </row>
    <row r="834" spans="2:10" ht="15" x14ac:dyDescent="0.25">
      <c r="B834" s="322" t="s">
        <v>317</v>
      </c>
      <c r="C834" s="306"/>
      <c r="D834" s="323">
        <f t="shared" ref="D834:I834" si="967">+D831*D826</f>
        <v>1858970.4120000007</v>
      </c>
      <c r="E834" s="323">
        <f t="shared" si="967"/>
        <v>1996454.5145999996</v>
      </c>
      <c r="F834" s="323">
        <f t="shared" si="967"/>
        <v>2149689.6321263998</v>
      </c>
      <c r="G834" s="323">
        <f t="shared" si="967"/>
        <v>2329218.6921607968</v>
      </c>
      <c r="H834" s="323">
        <f t="shared" si="967"/>
        <v>2536885.0483545964</v>
      </c>
      <c r="I834" s="323">
        <f t="shared" si="967"/>
        <v>2779846.1535570137</v>
      </c>
      <c r="J834" s="324"/>
    </row>
    <row r="835" spans="2:10" x14ac:dyDescent="0.2">
      <c r="B835" s="299" t="s">
        <v>321</v>
      </c>
      <c r="C835" s="306" t="s">
        <v>45</v>
      </c>
      <c r="D835" s="302">
        <f>+P169</f>
        <v>261.16000000000003</v>
      </c>
      <c r="E835" s="302">
        <f>+D835*(1+E836)*(1+E837)</f>
        <v>269.77828</v>
      </c>
      <c r="F835" s="302">
        <f>+E835*(1+F836)*(1+F837)</f>
        <v>279.49029808</v>
      </c>
      <c r="G835" s="302">
        <f>+F835*(1+G836)*(1+G837)</f>
        <v>291.22889059936</v>
      </c>
      <c r="H835" s="302">
        <f>+G835*(1+H836)*(1+H837)</f>
        <v>305.20787734812927</v>
      </c>
      <c r="I835" s="302">
        <f>+H835*(1+I836)*(1+I837)</f>
        <v>321.68910272492826</v>
      </c>
    </row>
    <row r="836" spans="2:10" x14ac:dyDescent="0.2">
      <c r="B836" s="299" t="s">
        <v>318</v>
      </c>
      <c r="C836" s="306" t="s">
        <v>160</v>
      </c>
      <c r="D836" s="320"/>
      <c r="E836" s="321">
        <f>+$E$408</f>
        <v>3.3000000000000002E-2</v>
      </c>
      <c r="F836" s="321">
        <f>+$F$408</f>
        <v>3.5999999999999997E-2</v>
      </c>
      <c r="G836" s="321">
        <f>+$G$408</f>
        <v>4.2000000000000003E-2</v>
      </c>
      <c r="H836" s="321">
        <f>+$H$408</f>
        <v>4.8000000000000001E-2</v>
      </c>
      <c r="I836" s="321">
        <f>+$I$408</f>
        <v>5.3999999999999999E-2</v>
      </c>
    </row>
    <row r="837" spans="2:10" x14ac:dyDescent="0.2">
      <c r="B837" s="299" t="s">
        <v>305</v>
      </c>
      <c r="C837" s="300"/>
      <c r="D837" s="320"/>
      <c r="E837" s="279">
        <v>0</v>
      </c>
      <c r="F837" s="279">
        <v>0</v>
      </c>
      <c r="G837" s="279">
        <v>0</v>
      </c>
      <c r="H837" s="279">
        <v>0</v>
      </c>
      <c r="I837" s="279">
        <v>0</v>
      </c>
    </row>
    <row r="838" spans="2:10" ht="15" x14ac:dyDescent="0.25">
      <c r="B838" s="322" t="s">
        <v>317</v>
      </c>
      <c r="C838" s="306"/>
      <c r="D838" s="323">
        <f t="shared" ref="D838:I838" si="968">+D835*D826</f>
        <v>242659.4256000001</v>
      </c>
      <c r="E838" s="323">
        <f t="shared" si="968"/>
        <v>260605.81847999999</v>
      </c>
      <c r="F838" s="323">
        <f t="shared" si="968"/>
        <v>280608.25927232002</v>
      </c>
      <c r="G838" s="323">
        <f t="shared" si="968"/>
        <v>304042.96178573184</v>
      </c>
      <c r="H838" s="323">
        <f t="shared" si="968"/>
        <v>331150.54692272027</v>
      </c>
      <c r="I838" s="323">
        <f t="shared" si="968"/>
        <v>362865.30787371908</v>
      </c>
    </row>
    <row r="839" spans="2:10" x14ac:dyDescent="0.2">
      <c r="B839" s="316" t="str">
        <f>+Ingresos!B637</f>
        <v>Guanábana Cítrica</v>
      </c>
      <c r="C839" s="317"/>
      <c r="D839" s="318"/>
      <c r="E839" s="318"/>
      <c r="F839" s="318"/>
      <c r="G839" s="318"/>
      <c r="H839" s="318"/>
      <c r="I839" s="318"/>
      <c r="J839" s="324"/>
    </row>
    <row r="840" spans="2:10" x14ac:dyDescent="0.2">
      <c r="B840" s="299" t="s">
        <v>159</v>
      </c>
      <c r="C840" s="319"/>
      <c r="D840" s="302">
        <f>+P270</f>
        <v>2195.2800000000002</v>
      </c>
      <c r="E840" s="302">
        <f>+Ingresos!D638</f>
        <v>2283</v>
      </c>
      <c r="F840" s="302">
        <f>+Ingresos!E638</f>
        <v>2374</v>
      </c>
      <c r="G840" s="302">
        <f>+Ingresos!F638</f>
        <v>2468</v>
      </c>
      <c r="H840" s="302">
        <f>+Ingresos!G638</f>
        <v>2566</v>
      </c>
      <c r="I840" s="302">
        <f>+Ingresos!H638</f>
        <v>2668</v>
      </c>
      <c r="J840" s="324"/>
    </row>
    <row r="841" spans="2:10" x14ac:dyDescent="0.2">
      <c r="B841" s="299" t="s">
        <v>319</v>
      </c>
      <c r="C841" s="306" t="s">
        <v>45</v>
      </c>
      <c r="D841" s="302">
        <f>+P179</f>
        <v>0</v>
      </c>
      <c r="E841" s="302">
        <f>+D841*(1+E842)*(1+E843)</f>
        <v>0</v>
      </c>
      <c r="F841" s="302">
        <f>+E841*(1+F842)*(1+F843)</f>
        <v>0</v>
      </c>
      <c r="G841" s="302">
        <f>+F841*(1+G842)*(1+G843)</f>
        <v>0</v>
      </c>
      <c r="H841" s="302">
        <f>+G841*(1+H842)*(1+H843)</f>
        <v>0</v>
      </c>
      <c r="I841" s="302">
        <f>+H841*(1+I842)*(1+I843)</f>
        <v>0</v>
      </c>
      <c r="J841" s="324"/>
    </row>
    <row r="842" spans="2:10" x14ac:dyDescent="0.2">
      <c r="B842" s="299" t="s">
        <v>318</v>
      </c>
      <c r="C842" s="306" t="s">
        <v>160</v>
      </c>
      <c r="D842" s="320"/>
      <c r="E842" s="321">
        <f>+E828</f>
        <v>3.3000000000000002E-2</v>
      </c>
      <c r="F842" s="321">
        <f>F492</f>
        <v>3.5999999999999997E-2</v>
      </c>
      <c r="G842" s="321">
        <f>G492</f>
        <v>4.2000000000000003E-2</v>
      </c>
      <c r="H842" s="321">
        <f>H492</f>
        <v>4.8000000000000001E-2</v>
      </c>
      <c r="I842" s="321">
        <f>+$I$408</f>
        <v>5.3999999999999999E-2</v>
      </c>
      <c r="J842" s="324"/>
    </row>
    <row r="843" spans="2:10" x14ac:dyDescent="0.2">
      <c r="B843" s="299" t="s">
        <v>305</v>
      </c>
      <c r="C843" s="300"/>
      <c r="D843" s="320"/>
      <c r="E843" s="279">
        <v>0</v>
      </c>
      <c r="F843" s="279">
        <v>0</v>
      </c>
      <c r="G843" s="279">
        <v>0</v>
      </c>
      <c r="H843" s="279">
        <v>0</v>
      </c>
      <c r="I843" s="279">
        <v>0</v>
      </c>
      <c r="J843" s="324"/>
    </row>
    <row r="844" spans="2:10" ht="15" x14ac:dyDescent="0.25">
      <c r="B844" s="322" t="s">
        <v>317</v>
      </c>
      <c r="C844" s="306"/>
      <c r="D844" s="304">
        <f t="shared" ref="D844:I844" si="969">D840*D841</f>
        <v>0</v>
      </c>
      <c r="E844" s="304">
        <f t="shared" si="969"/>
        <v>0</v>
      </c>
      <c r="F844" s="304">
        <f t="shared" si="969"/>
        <v>0</v>
      </c>
      <c r="G844" s="304">
        <f t="shared" si="969"/>
        <v>0</v>
      </c>
      <c r="H844" s="304">
        <f t="shared" si="969"/>
        <v>0</v>
      </c>
      <c r="I844" s="304">
        <f t="shared" si="969"/>
        <v>0</v>
      </c>
      <c r="J844" s="324"/>
    </row>
    <row r="845" spans="2:10" x14ac:dyDescent="0.2">
      <c r="B845" s="299" t="s">
        <v>320</v>
      </c>
      <c r="C845" s="306" t="s">
        <v>45</v>
      </c>
      <c r="D845" s="302">
        <f>+P181</f>
        <v>0</v>
      </c>
      <c r="E845" s="302">
        <f>+D845*(1+E846)*(1+E847)</f>
        <v>0</v>
      </c>
      <c r="F845" s="302">
        <f>+E845*(1+F846)*(1+F847)</f>
        <v>0</v>
      </c>
      <c r="G845" s="302">
        <f>+F845*(1+G846)*(1+G847)</f>
        <v>0</v>
      </c>
      <c r="H845" s="302">
        <f>+G845*(1+H846)*(1+H847)</f>
        <v>0</v>
      </c>
      <c r="I845" s="302">
        <f>+H845*(1+I846)*(1+I847)</f>
        <v>0</v>
      </c>
      <c r="J845" s="324"/>
    </row>
    <row r="846" spans="2:10" x14ac:dyDescent="0.2">
      <c r="B846" s="299" t="s">
        <v>318</v>
      </c>
      <c r="C846" s="306" t="s">
        <v>160</v>
      </c>
      <c r="D846" s="320"/>
      <c r="E846" s="321">
        <f>+$E$408</f>
        <v>3.3000000000000002E-2</v>
      </c>
      <c r="F846" s="321">
        <f>+$F$408</f>
        <v>3.5999999999999997E-2</v>
      </c>
      <c r="G846" s="321">
        <f>+$G$408</f>
        <v>4.2000000000000003E-2</v>
      </c>
      <c r="H846" s="321">
        <f>+$H$408</f>
        <v>4.8000000000000001E-2</v>
      </c>
      <c r="I846" s="321">
        <f>+$I$408</f>
        <v>5.3999999999999999E-2</v>
      </c>
      <c r="J846" s="324"/>
    </row>
    <row r="847" spans="2:10" x14ac:dyDescent="0.2">
      <c r="B847" s="299" t="s">
        <v>305</v>
      </c>
      <c r="C847" s="300"/>
      <c r="D847" s="320"/>
      <c r="E847" s="279">
        <v>0</v>
      </c>
      <c r="F847" s="279">
        <v>0</v>
      </c>
      <c r="G847" s="279">
        <v>0</v>
      </c>
      <c r="H847" s="279">
        <v>0</v>
      </c>
      <c r="I847" s="279">
        <v>0</v>
      </c>
      <c r="J847" s="324"/>
    </row>
    <row r="848" spans="2:10" ht="15" x14ac:dyDescent="0.25">
      <c r="B848" s="322" t="s">
        <v>317</v>
      </c>
      <c r="C848" s="306"/>
      <c r="D848" s="323">
        <f t="shared" ref="D848:I848" si="970">+D845*D840</f>
        <v>0</v>
      </c>
      <c r="E848" s="323">
        <f t="shared" si="970"/>
        <v>0</v>
      </c>
      <c r="F848" s="323">
        <f t="shared" si="970"/>
        <v>0</v>
      </c>
      <c r="G848" s="323">
        <f t="shared" si="970"/>
        <v>0</v>
      </c>
      <c r="H848" s="323">
        <f t="shared" si="970"/>
        <v>0</v>
      </c>
      <c r="I848" s="323">
        <f t="shared" si="970"/>
        <v>0</v>
      </c>
      <c r="J848" s="324"/>
    </row>
    <row r="849" spans="2:10" x14ac:dyDescent="0.2">
      <c r="B849" s="299" t="s">
        <v>321</v>
      </c>
      <c r="C849" s="306" t="s">
        <v>45</v>
      </c>
      <c r="D849" s="302">
        <f>+P183</f>
        <v>978.34100000000012</v>
      </c>
      <c r="E849" s="302">
        <f>+D849*(1+E850)*(1+E851)</f>
        <v>1010.626253</v>
      </c>
      <c r="F849" s="302">
        <f>+E849*(1+F850)*(1+F851)</f>
        <v>1047.0087981080001</v>
      </c>
      <c r="G849" s="302">
        <f>+F849*(1+G850)*(1+G851)</f>
        <v>1090.9831676285362</v>
      </c>
      <c r="H849" s="302">
        <f>+G849*(1+H850)*(1+H851)</f>
        <v>1143.3503596747059</v>
      </c>
      <c r="I849" s="302">
        <f>+H849*(1+I850)*(1+I851)</f>
        <v>1205.0912790971402</v>
      </c>
    </row>
    <row r="850" spans="2:10" x14ac:dyDescent="0.2">
      <c r="B850" s="299" t="s">
        <v>318</v>
      </c>
      <c r="C850" s="306" t="s">
        <v>160</v>
      </c>
      <c r="D850" s="320"/>
      <c r="E850" s="321">
        <f>+$E$408</f>
        <v>3.3000000000000002E-2</v>
      </c>
      <c r="F850" s="321">
        <f>+$F$408</f>
        <v>3.5999999999999997E-2</v>
      </c>
      <c r="G850" s="321">
        <f>+$G$408</f>
        <v>4.2000000000000003E-2</v>
      </c>
      <c r="H850" s="321">
        <f>+$H$408</f>
        <v>4.8000000000000001E-2</v>
      </c>
      <c r="I850" s="321">
        <f>+$I$408</f>
        <v>5.3999999999999999E-2</v>
      </c>
    </row>
    <row r="851" spans="2:10" x14ac:dyDescent="0.2">
      <c r="B851" s="299" t="s">
        <v>305</v>
      </c>
      <c r="C851" s="300"/>
      <c r="D851" s="320"/>
      <c r="E851" s="279">
        <v>0</v>
      </c>
      <c r="F851" s="279">
        <v>0</v>
      </c>
      <c r="G851" s="279">
        <v>0</v>
      </c>
      <c r="H851" s="279">
        <v>0</v>
      </c>
      <c r="I851" s="279">
        <v>0</v>
      </c>
    </row>
    <row r="852" spans="2:10" ht="15" x14ac:dyDescent="0.25">
      <c r="B852" s="322" t="s">
        <v>317</v>
      </c>
      <c r="C852" s="306"/>
      <c r="D852" s="323">
        <f t="shared" ref="D852:I852" si="971">+D849*D840</f>
        <v>2147732.4304800006</v>
      </c>
      <c r="E852" s="323">
        <f t="shared" si="971"/>
        <v>2307259.735599</v>
      </c>
      <c r="F852" s="323">
        <f t="shared" si="971"/>
        <v>2485598.8867083923</v>
      </c>
      <c r="G852" s="323">
        <f t="shared" si="971"/>
        <v>2692546.4577072272</v>
      </c>
      <c r="H852" s="323">
        <f t="shared" si="971"/>
        <v>2933837.0229252954</v>
      </c>
      <c r="I852" s="323">
        <f t="shared" si="971"/>
        <v>3215183.53263117</v>
      </c>
    </row>
    <row r="853" spans="2:10" x14ac:dyDescent="0.2">
      <c r="B853" s="316" t="str">
        <f>+Ingresos!B645</f>
        <v>Guayaba Pera</v>
      </c>
      <c r="C853" s="317"/>
      <c r="D853" s="318"/>
      <c r="E853" s="318"/>
      <c r="F853" s="318"/>
      <c r="G853" s="318"/>
      <c r="H853" s="318"/>
      <c r="I853" s="318"/>
      <c r="J853" s="324"/>
    </row>
    <row r="854" spans="2:10" x14ac:dyDescent="0.2">
      <c r="B854" s="299" t="s">
        <v>159</v>
      </c>
      <c r="C854" s="319"/>
      <c r="D854" s="302">
        <f>+P278</f>
        <v>1161.4799999999998</v>
      </c>
      <c r="E854" s="302">
        <f>+Ingresos!D646</f>
        <v>1207</v>
      </c>
      <c r="F854" s="302">
        <f>+Ingresos!E646</f>
        <v>1255</v>
      </c>
      <c r="G854" s="302">
        <f>+Ingresos!F646</f>
        <v>1305</v>
      </c>
      <c r="H854" s="302">
        <f>+Ingresos!G646</f>
        <v>1357</v>
      </c>
      <c r="I854" s="302">
        <f>+Ingresos!H646</f>
        <v>1411</v>
      </c>
      <c r="J854" s="324"/>
    </row>
    <row r="855" spans="2:10" x14ac:dyDescent="0.2">
      <c r="B855" s="299" t="s">
        <v>319</v>
      </c>
      <c r="C855" s="306" t="s">
        <v>45</v>
      </c>
      <c r="D855" s="302">
        <f>+P193</f>
        <v>78.66</v>
      </c>
      <c r="E855" s="302">
        <f>+D855*(1+E856)*(1+E857)</f>
        <v>81.255779999999987</v>
      </c>
      <c r="F855" s="302">
        <f>+E855*(1+F856)*(1+F857)</f>
        <v>84.180988079999992</v>
      </c>
      <c r="G855" s="302">
        <f>+F855*(1+G856)*(1+G857)</f>
        <v>87.71658957935999</v>
      </c>
      <c r="H855" s="302">
        <f>+G855*(1+H856)*(1+H857)</f>
        <v>91.92698587916928</v>
      </c>
      <c r="I855" s="302">
        <f>+H855*(1+I856)*(1+I857)</f>
        <v>96.891043116644425</v>
      </c>
      <c r="J855" s="324"/>
    </row>
    <row r="856" spans="2:10" x14ac:dyDescent="0.2">
      <c r="B856" s="299" t="s">
        <v>318</v>
      </c>
      <c r="C856" s="306" t="s">
        <v>160</v>
      </c>
      <c r="D856" s="320"/>
      <c r="E856" s="321">
        <f>+E842</f>
        <v>3.3000000000000002E-2</v>
      </c>
      <c r="F856" s="321">
        <f>F506</f>
        <v>3.5999999999999997E-2</v>
      </c>
      <c r="G856" s="321">
        <f>G506</f>
        <v>4.2000000000000003E-2</v>
      </c>
      <c r="H856" s="321">
        <f>H506</f>
        <v>4.8000000000000001E-2</v>
      </c>
      <c r="I856" s="321">
        <f>+$I$408</f>
        <v>5.3999999999999999E-2</v>
      </c>
      <c r="J856" s="324"/>
    </row>
    <row r="857" spans="2:10" x14ac:dyDescent="0.2">
      <c r="B857" s="299" t="s">
        <v>305</v>
      </c>
      <c r="C857" s="300"/>
      <c r="D857" s="320"/>
      <c r="E857" s="279">
        <v>0</v>
      </c>
      <c r="F857" s="279">
        <v>0</v>
      </c>
      <c r="G857" s="279">
        <v>0</v>
      </c>
      <c r="H857" s="279">
        <v>0</v>
      </c>
      <c r="I857" s="279">
        <v>0</v>
      </c>
      <c r="J857" s="324"/>
    </row>
    <row r="858" spans="2:10" ht="15" x14ac:dyDescent="0.25">
      <c r="B858" s="322" t="s">
        <v>317</v>
      </c>
      <c r="C858" s="306"/>
      <c r="D858" s="304">
        <f t="shared" ref="D858:I858" si="972">D854*D855</f>
        <v>91362.016799999983</v>
      </c>
      <c r="E858" s="304">
        <f t="shared" si="972"/>
        <v>98075.726459999991</v>
      </c>
      <c r="F858" s="304">
        <f t="shared" si="972"/>
        <v>105647.14004039999</v>
      </c>
      <c r="G858" s="304">
        <f t="shared" si="972"/>
        <v>114470.14940106479</v>
      </c>
      <c r="H858" s="304">
        <f t="shared" si="972"/>
        <v>124744.91983803271</v>
      </c>
      <c r="I858" s="304">
        <f t="shared" si="972"/>
        <v>136713.26183758528</v>
      </c>
      <c r="J858" s="324"/>
    </row>
    <row r="859" spans="2:10" x14ac:dyDescent="0.2">
      <c r="B859" s="299" t="s">
        <v>320</v>
      </c>
      <c r="C859" s="306" t="s">
        <v>45</v>
      </c>
      <c r="D859" s="302">
        <f>+P195</f>
        <v>0</v>
      </c>
      <c r="E859" s="302">
        <f>+D859*(1+E860)*(1+E861)</f>
        <v>0</v>
      </c>
      <c r="F859" s="302">
        <f>+E859*(1+F860)*(1+F861)</f>
        <v>0</v>
      </c>
      <c r="G859" s="302">
        <f>+F859*(1+G860)*(1+G861)</f>
        <v>0</v>
      </c>
      <c r="H859" s="302">
        <f>+G859*(1+H860)*(1+H861)</f>
        <v>0</v>
      </c>
      <c r="I859" s="302">
        <f>+H859*(1+I860)*(1+I861)</f>
        <v>0</v>
      </c>
      <c r="J859" s="324"/>
    </row>
    <row r="860" spans="2:10" x14ac:dyDescent="0.2">
      <c r="B860" s="299" t="s">
        <v>318</v>
      </c>
      <c r="C860" s="306" t="s">
        <v>160</v>
      </c>
      <c r="D860" s="320"/>
      <c r="E860" s="321">
        <f>+$E$408</f>
        <v>3.3000000000000002E-2</v>
      </c>
      <c r="F860" s="321">
        <f>+$F$408</f>
        <v>3.5999999999999997E-2</v>
      </c>
      <c r="G860" s="321">
        <f>+$G$408</f>
        <v>4.2000000000000003E-2</v>
      </c>
      <c r="H860" s="321">
        <f>+$H$408</f>
        <v>4.8000000000000001E-2</v>
      </c>
      <c r="I860" s="321">
        <f>+$I$408</f>
        <v>5.3999999999999999E-2</v>
      </c>
      <c r="J860" s="324"/>
    </row>
    <row r="861" spans="2:10" x14ac:dyDescent="0.2">
      <c r="B861" s="299" t="s">
        <v>305</v>
      </c>
      <c r="C861" s="300"/>
      <c r="D861" s="320"/>
      <c r="E861" s="279">
        <v>0</v>
      </c>
      <c r="F861" s="279">
        <v>0</v>
      </c>
      <c r="G861" s="279">
        <v>0</v>
      </c>
      <c r="H861" s="279">
        <v>0</v>
      </c>
      <c r="I861" s="279">
        <v>0</v>
      </c>
      <c r="J861" s="324"/>
    </row>
    <row r="862" spans="2:10" ht="15" x14ac:dyDescent="0.25">
      <c r="B862" s="322" t="s">
        <v>317</v>
      </c>
      <c r="C862" s="306"/>
      <c r="D862" s="323">
        <f t="shared" ref="D862:I862" si="973">+D859*D854</f>
        <v>0</v>
      </c>
      <c r="E862" s="323">
        <f t="shared" si="973"/>
        <v>0</v>
      </c>
      <c r="F862" s="323">
        <f t="shared" si="973"/>
        <v>0</v>
      </c>
      <c r="G862" s="323">
        <f t="shared" si="973"/>
        <v>0</v>
      </c>
      <c r="H862" s="323">
        <f t="shared" si="973"/>
        <v>0</v>
      </c>
      <c r="I862" s="323">
        <f t="shared" si="973"/>
        <v>0</v>
      </c>
      <c r="J862" s="324"/>
    </row>
    <row r="863" spans="2:10" x14ac:dyDescent="0.2">
      <c r="B863" s="299" t="s">
        <v>321</v>
      </c>
      <c r="C863" s="306" t="s">
        <v>45</v>
      </c>
      <c r="D863" s="302">
        <f>+P197</f>
        <v>0</v>
      </c>
      <c r="E863" s="302">
        <f>+D863*(1+E864)*(1+E865)</f>
        <v>0</v>
      </c>
      <c r="F863" s="302">
        <f>+E863*(1+F864)*(1+F865)</f>
        <v>0</v>
      </c>
      <c r="G863" s="302">
        <f>+F863*(1+G864)*(1+G865)</f>
        <v>0</v>
      </c>
      <c r="H863" s="302">
        <f>+G863*(1+H864)*(1+H865)</f>
        <v>0</v>
      </c>
      <c r="I863" s="302">
        <f>+H863*(1+I864)*(1+I865)</f>
        <v>0</v>
      </c>
    </row>
    <row r="864" spans="2:10" x14ac:dyDescent="0.2">
      <c r="B864" s="299" t="s">
        <v>318</v>
      </c>
      <c r="C864" s="306" t="s">
        <v>160</v>
      </c>
      <c r="D864" s="320"/>
      <c r="E864" s="321">
        <f>+$E$408</f>
        <v>3.3000000000000002E-2</v>
      </c>
      <c r="F864" s="321">
        <f>+$F$408</f>
        <v>3.5999999999999997E-2</v>
      </c>
      <c r="G864" s="321">
        <f>+$G$408</f>
        <v>4.2000000000000003E-2</v>
      </c>
      <c r="H864" s="321">
        <f>+$H$408</f>
        <v>4.8000000000000001E-2</v>
      </c>
      <c r="I864" s="321">
        <f>+$I$408</f>
        <v>5.3999999999999999E-2</v>
      </c>
    </row>
    <row r="865" spans="2:10" x14ac:dyDescent="0.2">
      <c r="B865" s="299" t="s">
        <v>305</v>
      </c>
      <c r="C865" s="300"/>
      <c r="D865" s="320"/>
      <c r="E865" s="279">
        <v>0</v>
      </c>
      <c r="F865" s="279">
        <v>0</v>
      </c>
      <c r="G865" s="279">
        <v>0</v>
      </c>
      <c r="H865" s="279">
        <v>0</v>
      </c>
      <c r="I865" s="279">
        <v>0</v>
      </c>
    </row>
    <row r="866" spans="2:10" ht="15" x14ac:dyDescent="0.25">
      <c r="B866" s="322" t="s">
        <v>317</v>
      </c>
      <c r="C866" s="306"/>
      <c r="D866" s="323">
        <f t="shared" ref="D866:I866" si="974">+D863*D854</f>
        <v>0</v>
      </c>
      <c r="E866" s="323">
        <f t="shared" si="974"/>
        <v>0</v>
      </c>
      <c r="F866" s="323">
        <f t="shared" si="974"/>
        <v>0</v>
      </c>
      <c r="G866" s="323">
        <f t="shared" si="974"/>
        <v>0</v>
      </c>
      <c r="H866" s="323">
        <f t="shared" si="974"/>
        <v>0</v>
      </c>
      <c r="I866" s="323">
        <f t="shared" si="974"/>
        <v>0</v>
      </c>
    </row>
    <row r="867" spans="2:10" x14ac:dyDescent="0.2">
      <c r="B867" s="316" t="str">
        <f>+Ingresos!B653</f>
        <v>Limón Común</v>
      </c>
      <c r="C867" s="317"/>
      <c r="D867" s="318"/>
      <c r="E867" s="318"/>
      <c r="F867" s="318"/>
      <c r="G867" s="318"/>
      <c r="H867" s="318"/>
      <c r="I867" s="318"/>
      <c r="J867" s="324"/>
    </row>
    <row r="868" spans="2:10" x14ac:dyDescent="0.2">
      <c r="B868" s="299" t="s">
        <v>159</v>
      </c>
      <c r="C868" s="319"/>
      <c r="D868" s="302">
        <f>+P286</f>
        <v>30257.519999999993</v>
      </c>
      <c r="E868" s="302">
        <f>+Ingresos!D406</f>
        <v>392</v>
      </c>
      <c r="F868" s="302">
        <f>+Ingresos!E406</f>
        <v>407</v>
      </c>
      <c r="G868" s="302">
        <f>+Ingresos!F406</f>
        <v>423</v>
      </c>
      <c r="H868" s="302">
        <f>+Ingresos!G406</f>
        <v>439</v>
      </c>
      <c r="I868" s="302">
        <f>+Ingresos!H406</f>
        <v>456</v>
      </c>
      <c r="J868" s="324"/>
    </row>
    <row r="869" spans="2:10" x14ac:dyDescent="0.2">
      <c r="B869" s="299" t="s">
        <v>319</v>
      </c>
      <c r="C869" s="306" t="s">
        <v>45</v>
      </c>
      <c r="D869" s="302">
        <f>+P207</f>
        <v>2334.15</v>
      </c>
      <c r="E869" s="302">
        <f>+D869*(1+E870)*(1+E871)</f>
        <v>2411.17695</v>
      </c>
      <c r="F869" s="302">
        <f>+E869*(1+F870)*(1+F871)</f>
        <v>2497.9793202000001</v>
      </c>
      <c r="G869" s="302">
        <f>+F869*(1+G870)*(1+G871)</f>
        <v>2602.8944516484003</v>
      </c>
      <c r="H869" s="302">
        <f>+G869*(1+H870)*(1+H871)</f>
        <v>2727.8333853275235</v>
      </c>
      <c r="I869" s="302">
        <f>+H869*(1+I870)*(1+I871)</f>
        <v>2875.1363881352099</v>
      </c>
      <c r="J869" s="324"/>
    </row>
    <row r="870" spans="2:10" x14ac:dyDescent="0.2">
      <c r="B870" s="299" t="s">
        <v>318</v>
      </c>
      <c r="C870" s="306" t="s">
        <v>160</v>
      </c>
      <c r="D870" s="320"/>
      <c r="E870" s="321">
        <f>+E856</f>
        <v>3.3000000000000002E-2</v>
      </c>
      <c r="F870" s="321">
        <f>F520</f>
        <v>3.5999999999999997E-2</v>
      </c>
      <c r="G870" s="321">
        <f>G520</f>
        <v>4.2000000000000003E-2</v>
      </c>
      <c r="H870" s="321">
        <f>H520</f>
        <v>4.8000000000000001E-2</v>
      </c>
      <c r="I870" s="321">
        <f>+$I$408</f>
        <v>5.3999999999999999E-2</v>
      </c>
      <c r="J870" s="324"/>
    </row>
    <row r="871" spans="2:10" x14ac:dyDescent="0.2">
      <c r="B871" s="299" t="s">
        <v>305</v>
      </c>
      <c r="C871" s="300"/>
      <c r="D871" s="320"/>
      <c r="E871" s="279">
        <v>0</v>
      </c>
      <c r="F871" s="279">
        <v>0</v>
      </c>
      <c r="G871" s="279">
        <v>0</v>
      </c>
      <c r="H871" s="279">
        <v>0</v>
      </c>
      <c r="I871" s="279">
        <v>0</v>
      </c>
      <c r="J871" s="324"/>
    </row>
    <row r="872" spans="2:10" ht="15" x14ac:dyDescent="0.25">
      <c r="B872" s="322" t="s">
        <v>317</v>
      </c>
      <c r="C872" s="306"/>
      <c r="D872" s="304">
        <f t="shared" ref="D872:I872" si="975">D868*D869</f>
        <v>70625590.307999983</v>
      </c>
      <c r="E872" s="304">
        <f t="shared" si="975"/>
        <v>945181.36439999996</v>
      </c>
      <c r="F872" s="304">
        <f t="shared" si="975"/>
        <v>1016677.5833214</v>
      </c>
      <c r="G872" s="304">
        <f t="shared" si="975"/>
        <v>1101024.3530472734</v>
      </c>
      <c r="H872" s="304">
        <f t="shared" si="975"/>
        <v>1197518.8561587827</v>
      </c>
      <c r="I872" s="304">
        <f t="shared" si="975"/>
        <v>1311062.1929896558</v>
      </c>
      <c r="J872" s="324"/>
    </row>
    <row r="873" spans="2:10" x14ac:dyDescent="0.2">
      <c r="B873" s="299" t="s">
        <v>320</v>
      </c>
      <c r="C873" s="306" t="s">
        <v>45</v>
      </c>
      <c r="D873" s="302">
        <f>+P209</f>
        <v>318</v>
      </c>
      <c r="E873" s="302">
        <f>+D873*(1+E874)*(1+E875)</f>
        <v>328.49399999999997</v>
      </c>
      <c r="F873" s="302">
        <f>+E873*(1+F874)*(1+F875)</f>
        <v>340.31978399999997</v>
      </c>
      <c r="G873" s="302">
        <f>+F873*(1+G874)*(1+G875)</f>
        <v>354.61321492799999</v>
      </c>
      <c r="H873" s="302">
        <f>+G873*(1+H874)*(1+H875)</f>
        <v>371.63464924454399</v>
      </c>
      <c r="I873" s="302">
        <f>+H873*(1+I874)*(1+I875)</f>
        <v>391.70292030374941</v>
      </c>
      <c r="J873" s="324"/>
    </row>
    <row r="874" spans="2:10" x14ac:dyDescent="0.2">
      <c r="B874" s="299" t="s">
        <v>318</v>
      </c>
      <c r="C874" s="306" t="s">
        <v>160</v>
      </c>
      <c r="D874" s="320"/>
      <c r="E874" s="321">
        <f>+$E$408</f>
        <v>3.3000000000000002E-2</v>
      </c>
      <c r="F874" s="321">
        <f>+$F$408</f>
        <v>3.5999999999999997E-2</v>
      </c>
      <c r="G874" s="321">
        <f>+$G$408</f>
        <v>4.2000000000000003E-2</v>
      </c>
      <c r="H874" s="321">
        <f>+$H$408</f>
        <v>4.8000000000000001E-2</v>
      </c>
      <c r="I874" s="321">
        <f>+$I$408</f>
        <v>5.3999999999999999E-2</v>
      </c>
      <c r="J874" s="324"/>
    </row>
    <row r="875" spans="2:10" x14ac:dyDescent="0.2">
      <c r="B875" s="299" t="s">
        <v>305</v>
      </c>
      <c r="C875" s="300"/>
      <c r="D875" s="320"/>
      <c r="E875" s="279">
        <v>0</v>
      </c>
      <c r="F875" s="279">
        <v>0</v>
      </c>
      <c r="G875" s="279">
        <v>0</v>
      </c>
      <c r="H875" s="279">
        <v>0</v>
      </c>
      <c r="I875" s="279">
        <v>0</v>
      </c>
      <c r="J875" s="324"/>
    </row>
    <row r="876" spans="2:10" ht="15" x14ac:dyDescent="0.25">
      <c r="B876" s="322" t="s">
        <v>317</v>
      </c>
      <c r="C876" s="306"/>
      <c r="D876" s="323">
        <f t="shared" ref="D876:I876" si="976">+D873*D868</f>
        <v>9621891.3599999975</v>
      </c>
      <c r="E876" s="323">
        <f t="shared" si="976"/>
        <v>128769.64799999999</v>
      </c>
      <c r="F876" s="323">
        <f t="shared" si="976"/>
        <v>138510.15208799997</v>
      </c>
      <c r="G876" s="323">
        <f t="shared" si="976"/>
        <v>150001.38991454401</v>
      </c>
      <c r="H876" s="323">
        <f t="shared" si="976"/>
        <v>163147.6110183548</v>
      </c>
      <c r="I876" s="323">
        <f t="shared" si="976"/>
        <v>178616.53165850972</v>
      </c>
      <c r="J876" s="324"/>
    </row>
    <row r="877" spans="2:10" x14ac:dyDescent="0.2">
      <c r="B877" s="299" t="s">
        <v>321</v>
      </c>
      <c r="C877" s="306" t="s">
        <v>45</v>
      </c>
      <c r="D877" s="302">
        <f>+P211</f>
        <v>0</v>
      </c>
      <c r="E877" s="302">
        <f>+D877*(1+E878)*(1+E879)</f>
        <v>0</v>
      </c>
      <c r="F877" s="302">
        <f>+E877*(1+F878)*(1+F879)</f>
        <v>0</v>
      </c>
      <c r="G877" s="302">
        <f>+F877*(1+G878)*(1+G879)</f>
        <v>0</v>
      </c>
      <c r="H877" s="302">
        <f>+G877*(1+H878)*(1+H879)</f>
        <v>0</v>
      </c>
      <c r="I877" s="302">
        <f>+H877*(1+I878)*(1+I879)</f>
        <v>0</v>
      </c>
    </row>
    <row r="878" spans="2:10" x14ac:dyDescent="0.2">
      <c r="B878" s="299" t="s">
        <v>318</v>
      </c>
      <c r="C878" s="306" t="s">
        <v>160</v>
      </c>
      <c r="D878" s="320"/>
      <c r="E878" s="321">
        <f>+$E$408</f>
        <v>3.3000000000000002E-2</v>
      </c>
      <c r="F878" s="321">
        <f>+$F$408</f>
        <v>3.5999999999999997E-2</v>
      </c>
      <c r="G878" s="321">
        <f>+$G$408</f>
        <v>4.2000000000000003E-2</v>
      </c>
      <c r="H878" s="321">
        <f>+$H$408</f>
        <v>4.8000000000000001E-2</v>
      </c>
      <c r="I878" s="321">
        <f>+$I$408</f>
        <v>5.3999999999999999E-2</v>
      </c>
    </row>
    <row r="879" spans="2:10" x14ac:dyDescent="0.2">
      <c r="B879" s="299" t="s">
        <v>305</v>
      </c>
      <c r="C879" s="300"/>
      <c r="D879" s="320"/>
      <c r="E879" s="279">
        <v>0</v>
      </c>
      <c r="F879" s="279">
        <v>0</v>
      </c>
      <c r="G879" s="279">
        <v>0</v>
      </c>
      <c r="H879" s="279">
        <v>0</v>
      </c>
      <c r="I879" s="279">
        <v>0</v>
      </c>
    </row>
    <row r="880" spans="2:10" ht="15" x14ac:dyDescent="0.25">
      <c r="B880" s="322" t="s">
        <v>317</v>
      </c>
      <c r="C880" s="306"/>
      <c r="D880" s="323">
        <f t="shared" ref="D880:I880" si="977">+D877*D868</f>
        <v>0</v>
      </c>
      <c r="E880" s="323">
        <f t="shared" si="977"/>
        <v>0</v>
      </c>
      <c r="F880" s="323">
        <f t="shared" si="977"/>
        <v>0</v>
      </c>
      <c r="G880" s="323">
        <f t="shared" si="977"/>
        <v>0</v>
      </c>
      <c r="H880" s="323">
        <f t="shared" si="977"/>
        <v>0</v>
      </c>
      <c r="I880" s="323">
        <f t="shared" si="977"/>
        <v>0</v>
      </c>
    </row>
    <row r="881" spans="2:10" x14ac:dyDescent="0.2">
      <c r="B881" s="316" t="str">
        <f>+Ingresos!B661</f>
        <v>Limón Tahití</v>
      </c>
      <c r="C881" s="317"/>
      <c r="D881" s="318"/>
      <c r="E881" s="318"/>
      <c r="F881" s="318"/>
      <c r="G881" s="318"/>
      <c r="H881" s="318"/>
      <c r="I881" s="318"/>
      <c r="J881" s="324"/>
    </row>
    <row r="882" spans="2:10" x14ac:dyDescent="0.2">
      <c r="B882" s="299" t="s">
        <v>159</v>
      </c>
      <c r="C882" s="319"/>
      <c r="D882" s="302">
        <f>+P294</f>
        <v>52849.079999999987</v>
      </c>
      <c r="E882" s="302">
        <f>+Ingresos!D654</f>
        <v>31467</v>
      </c>
      <c r="F882" s="302">
        <f>+Ingresos!E654</f>
        <v>32725</v>
      </c>
      <c r="G882" s="302">
        <f>+Ingresos!F654</f>
        <v>34034</v>
      </c>
      <c r="H882" s="302">
        <f>+Ingresos!G654</f>
        <v>35395</v>
      </c>
      <c r="I882" s="302">
        <f>+Ingresos!H654</f>
        <v>36810</v>
      </c>
      <c r="J882" s="324"/>
    </row>
    <row r="883" spans="2:10" x14ac:dyDescent="0.2">
      <c r="B883" s="299" t="s">
        <v>319</v>
      </c>
      <c r="C883" s="306" t="s">
        <v>45</v>
      </c>
      <c r="D883" s="302">
        <f>+P221</f>
        <v>0</v>
      </c>
      <c r="E883" s="302">
        <f>+D883*(1+E884)*(1+E885)</f>
        <v>0</v>
      </c>
      <c r="F883" s="302">
        <f>+E883*(1+F884)*(1+F885)</f>
        <v>0</v>
      </c>
      <c r="G883" s="302">
        <f>+F883*(1+G884)*(1+G885)</f>
        <v>0</v>
      </c>
      <c r="H883" s="302">
        <f>+G883*(1+H884)*(1+H885)</f>
        <v>0</v>
      </c>
      <c r="I883" s="302">
        <f>+H883*(1+I884)*(1+I885)</f>
        <v>0</v>
      </c>
      <c r="J883" s="324"/>
    </row>
    <row r="884" spans="2:10" x14ac:dyDescent="0.2">
      <c r="B884" s="299" t="s">
        <v>318</v>
      </c>
      <c r="C884" s="306" t="s">
        <v>160</v>
      </c>
      <c r="D884" s="320"/>
      <c r="E884" s="321">
        <f>+E870</f>
        <v>3.3000000000000002E-2</v>
      </c>
      <c r="F884" s="321">
        <f>F534</f>
        <v>3.5999999999999997E-2</v>
      </c>
      <c r="G884" s="321">
        <f>G534</f>
        <v>4.2000000000000003E-2</v>
      </c>
      <c r="H884" s="321">
        <f>H534</f>
        <v>4.8000000000000001E-2</v>
      </c>
      <c r="I884" s="321">
        <f>+$I$408</f>
        <v>5.3999999999999999E-2</v>
      </c>
      <c r="J884" s="324"/>
    </row>
    <row r="885" spans="2:10" x14ac:dyDescent="0.2">
      <c r="B885" s="299" t="s">
        <v>305</v>
      </c>
      <c r="C885" s="300"/>
      <c r="D885" s="320"/>
      <c r="E885" s="279">
        <v>0</v>
      </c>
      <c r="F885" s="279">
        <v>0</v>
      </c>
      <c r="G885" s="279">
        <v>0</v>
      </c>
      <c r="H885" s="279">
        <v>0</v>
      </c>
      <c r="I885" s="279">
        <v>0</v>
      </c>
      <c r="J885" s="324"/>
    </row>
    <row r="886" spans="2:10" ht="15" x14ac:dyDescent="0.25">
      <c r="B886" s="322" t="s">
        <v>317</v>
      </c>
      <c r="C886" s="306"/>
      <c r="D886" s="304">
        <f t="shared" ref="D886:I886" si="978">D882*D883</f>
        <v>0</v>
      </c>
      <c r="E886" s="304">
        <f t="shared" si="978"/>
        <v>0</v>
      </c>
      <c r="F886" s="304">
        <f t="shared" si="978"/>
        <v>0</v>
      </c>
      <c r="G886" s="304">
        <f t="shared" si="978"/>
        <v>0</v>
      </c>
      <c r="H886" s="304">
        <f t="shared" si="978"/>
        <v>0</v>
      </c>
      <c r="I886" s="304">
        <f t="shared" si="978"/>
        <v>0</v>
      </c>
      <c r="J886" s="324"/>
    </row>
    <row r="887" spans="2:10" x14ac:dyDescent="0.2">
      <c r="B887" s="299" t="s">
        <v>320</v>
      </c>
      <c r="C887" s="306" t="s">
        <v>45</v>
      </c>
      <c r="D887" s="302">
        <f>+P223</f>
        <v>578.20100000000002</v>
      </c>
      <c r="E887" s="302">
        <f>+D887*(1+E888)*(1+E889)</f>
        <v>597.28163299999994</v>
      </c>
      <c r="F887" s="302">
        <f>+E887*(1+F888)*(1+F889)</f>
        <v>618.78377178799997</v>
      </c>
      <c r="G887" s="302">
        <f>+F887*(1+G888)*(1+G889)</f>
        <v>644.77269020309598</v>
      </c>
      <c r="H887" s="302">
        <f>+G887*(1+H888)*(1+H889)</f>
        <v>675.72177933284456</v>
      </c>
      <c r="I887" s="302">
        <f>+H887*(1+I888)*(1+I889)</f>
        <v>712.21075541681819</v>
      </c>
      <c r="J887" s="324"/>
    </row>
    <row r="888" spans="2:10" x14ac:dyDescent="0.2">
      <c r="B888" s="299" t="s">
        <v>318</v>
      </c>
      <c r="C888" s="306" t="s">
        <v>160</v>
      </c>
      <c r="D888" s="320"/>
      <c r="E888" s="321">
        <f>+$E$408</f>
        <v>3.3000000000000002E-2</v>
      </c>
      <c r="F888" s="321">
        <f>+$F$408</f>
        <v>3.5999999999999997E-2</v>
      </c>
      <c r="G888" s="321">
        <f>+$G$408</f>
        <v>4.2000000000000003E-2</v>
      </c>
      <c r="H888" s="321">
        <f>+$H$408</f>
        <v>4.8000000000000001E-2</v>
      </c>
      <c r="I888" s="321">
        <f>+$I$408</f>
        <v>5.3999999999999999E-2</v>
      </c>
      <c r="J888" s="324"/>
    </row>
    <row r="889" spans="2:10" x14ac:dyDescent="0.2">
      <c r="B889" s="299" t="s">
        <v>305</v>
      </c>
      <c r="C889" s="300"/>
      <c r="D889" s="320"/>
      <c r="E889" s="279">
        <v>0</v>
      </c>
      <c r="F889" s="279">
        <v>0</v>
      </c>
      <c r="G889" s="279">
        <v>0</v>
      </c>
      <c r="H889" s="279">
        <v>0</v>
      </c>
      <c r="I889" s="279">
        <v>0</v>
      </c>
      <c r="J889" s="324"/>
    </row>
    <row r="890" spans="2:10" ht="15" x14ac:dyDescent="0.25">
      <c r="B890" s="322" t="s">
        <v>317</v>
      </c>
      <c r="C890" s="306"/>
      <c r="D890" s="323">
        <f t="shared" ref="D890:I890" si="979">+D887*D882</f>
        <v>30557390.905079994</v>
      </c>
      <c r="E890" s="323">
        <f t="shared" si="979"/>
        <v>18794661.145610999</v>
      </c>
      <c r="F890" s="323">
        <f t="shared" si="979"/>
        <v>20249698.9317623</v>
      </c>
      <c r="G890" s="323">
        <f t="shared" si="979"/>
        <v>21944193.738372169</v>
      </c>
      <c r="H890" s="323">
        <f t="shared" si="979"/>
        <v>23917172.379486032</v>
      </c>
      <c r="I890" s="323">
        <f t="shared" si="979"/>
        <v>26216477.906893078</v>
      </c>
      <c r="J890" s="324"/>
    </row>
    <row r="891" spans="2:10" x14ac:dyDescent="0.2">
      <c r="B891" s="299" t="s">
        <v>321</v>
      </c>
      <c r="C891" s="306" t="s">
        <v>45</v>
      </c>
      <c r="D891" s="302">
        <f>+P225</f>
        <v>18</v>
      </c>
      <c r="E891" s="302">
        <f>+D891*(1+E892)*(1+E893)</f>
        <v>18.593999999999998</v>
      </c>
      <c r="F891" s="302">
        <f>+E891*(1+F892)*(1+F893)</f>
        <v>19.263383999999999</v>
      </c>
      <c r="G891" s="302">
        <f>+F891*(1+G892)*(1+G893)</f>
        <v>20.072446127999999</v>
      </c>
      <c r="H891" s="302">
        <f>+G891*(1+H892)*(1+H893)</f>
        <v>21.035923542144001</v>
      </c>
      <c r="I891" s="302">
        <f>+H891*(1+I892)*(1+I893)</f>
        <v>22.171863413419779</v>
      </c>
    </row>
    <row r="892" spans="2:10" x14ac:dyDescent="0.2">
      <c r="B892" s="299" t="s">
        <v>318</v>
      </c>
      <c r="C892" s="306" t="s">
        <v>160</v>
      </c>
      <c r="D892" s="320"/>
      <c r="E892" s="321">
        <f>+$E$408</f>
        <v>3.3000000000000002E-2</v>
      </c>
      <c r="F892" s="321">
        <f>+$F$408</f>
        <v>3.5999999999999997E-2</v>
      </c>
      <c r="G892" s="321">
        <f>+$G$408</f>
        <v>4.2000000000000003E-2</v>
      </c>
      <c r="H892" s="321">
        <f>+$H$408</f>
        <v>4.8000000000000001E-2</v>
      </c>
      <c r="I892" s="321">
        <f>+$I$408</f>
        <v>5.3999999999999999E-2</v>
      </c>
    </row>
    <row r="893" spans="2:10" x14ac:dyDescent="0.2">
      <c r="B893" s="299" t="s">
        <v>305</v>
      </c>
      <c r="C893" s="300"/>
      <c r="D893" s="320"/>
      <c r="E893" s="279">
        <v>0</v>
      </c>
      <c r="F893" s="279">
        <v>0</v>
      </c>
      <c r="G893" s="279">
        <v>0</v>
      </c>
      <c r="H893" s="279">
        <v>0</v>
      </c>
      <c r="I893" s="279">
        <v>0</v>
      </c>
    </row>
    <row r="894" spans="2:10" ht="15" x14ac:dyDescent="0.25">
      <c r="B894" s="322" t="s">
        <v>317</v>
      </c>
      <c r="C894" s="306"/>
      <c r="D894" s="323">
        <f t="shared" ref="D894:I894" si="980">+D891*D882</f>
        <v>951283.43999999971</v>
      </c>
      <c r="E894" s="323">
        <f t="shared" si="980"/>
        <v>585097.39799999993</v>
      </c>
      <c r="F894" s="323">
        <f t="shared" si="980"/>
        <v>630394.24139999994</v>
      </c>
      <c r="G894" s="323">
        <f t="shared" si="980"/>
        <v>683145.63152035198</v>
      </c>
      <c r="H894" s="323">
        <f t="shared" si="980"/>
        <v>744566.51377418695</v>
      </c>
      <c r="I894" s="323">
        <f t="shared" si="980"/>
        <v>816146.292247982</v>
      </c>
    </row>
    <row r="895" spans="2:10" x14ac:dyDescent="0.2">
      <c r="B895" s="316" t="str">
        <f>+Ingresos!B669</f>
        <v>Lulo</v>
      </c>
      <c r="C895" s="317"/>
      <c r="D895" s="318"/>
      <c r="E895" s="318"/>
      <c r="F895" s="318"/>
      <c r="G895" s="318"/>
      <c r="H895" s="318"/>
      <c r="I895" s="318"/>
      <c r="J895" s="324"/>
    </row>
    <row r="896" spans="2:10" x14ac:dyDescent="0.2">
      <c r="B896" s="299" t="s">
        <v>159</v>
      </c>
      <c r="C896" s="319"/>
      <c r="D896" s="302">
        <f>+P302</f>
        <v>1661.1600000000005</v>
      </c>
      <c r="E896" s="302">
        <f>+Ingresos!D670</f>
        <v>1727</v>
      </c>
      <c r="F896" s="302">
        <f>+Ingresos!E670</f>
        <v>1796</v>
      </c>
      <c r="G896" s="302">
        <f>+Ingresos!F670</f>
        <v>1867</v>
      </c>
      <c r="H896" s="302">
        <f>+Ingresos!G670</f>
        <v>1941</v>
      </c>
      <c r="I896" s="302">
        <f>+Ingresos!H670</f>
        <v>2018</v>
      </c>
      <c r="J896" s="324"/>
    </row>
    <row r="897" spans="2:10" x14ac:dyDescent="0.2">
      <c r="B897" s="299" t="s">
        <v>319</v>
      </c>
      <c r="C897" s="306" t="s">
        <v>45</v>
      </c>
      <c r="D897" s="302">
        <f>+P235</f>
        <v>0</v>
      </c>
      <c r="E897" s="302">
        <f>+D897*(1+E898)*(1+E899)</f>
        <v>0</v>
      </c>
      <c r="F897" s="302">
        <f>+E897*(1+F898)*(1+F899)</f>
        <v>0</v>
      </c>
      <c r="G897" s="302">
        <f>+F897*(1+G898)*(1+G899)</f>
        <v>0</v>
      </c>
      <c r="H897" s="302">
        <f>+G897*(1+H898)*(1+H899)</f>
        <v>0</v>
      </c>
      <c r="I897" s="302">
        <f>+H897*(1+I898)*(1+I899)</f>
        <v>0</v>
      </c>
      <c r="J897" s="324"/>
    </row>
    <row r="898" spans="2:10" x14ac:dyDescent="0.2">
      <c r="B898" s="299" t="s">
        <v>318</v>
      </c>
      <c r="C898" s="306" t="s">
        <v>160</v>
      </c>
      <c r="D898" s="320"/>
      <c r="E898" s="321">
        <f>+E884</f>
        <v>3.3000000000000002E-2</v>
      </c>
      <c r="F898" s="321">
        <f>F548</f>
        <v>3.5999999999999997E-2</v>
      </c>
      <c r="G898" s="321">
        <f>G548</f>
        <v>4.2000000000000003E-2</v>
      </c>
      <c r="H898" s="321">
        <f>H548</f>
        <v>4.8000000000000001E-2</v>
      </c>
      <c r="I898" s="321">
        <f>+$I$408</f>
        <v>5.3999999999999999E-2</v>
      </c>
      <c r="J898" s="324"/>
    </row>
    <row r="899" spans="2:10" x14ac:dyDescent="0.2">
      <c r="B899" s="299" t="s">
        <v>305</v>
      </c>
      <c r="C899" s="300"/>
      <c r="D899" s="320"/>
      <c r="E899" s="279">
        <v>0</v>
      </c>
      <c r="F899" s="279">
        <v>0</v>
      </c>
      <c r="G899" s="279">
        <v>0</v>
      </c>
      <c r="H899" s="279">
        <v>0</v>
      </c>
      <c r="I899" s="279">
        <v>0</v>
      </c>
      <c r="J899" s="324"/>
    </row>
    <row r="900" spans="2:10" ht="15" x14ac:dyDescent="0.25">
      <c r="B900" s="322" t="s">
        <v>317</v>
      </c>
      <c r="C900" s="306"/>
      <c r="D900" s="304">
        <f t="shared" ref="D900:I900" si="981">D896*D897</f>
        <v>0</v>
      </c>
      <c r="E900" s="304">
        <f t="shared" si="981"/>
        <v>0</v>
      </c>
      <c r="F900" s="304">
        <f t="shared" si="981"/>
        <v>0</v>
      </c>
      <c r="G900" s="304">
        <f t="shared" si="981"/>
        <v>0</v>
      </c>
      <c r="H900" s="304">
        <f t="shared" si="981"/>
        <v>0</v>
      </c>
      <c r="I900" s="304">
        <f t="shared" si="981"/>
        <v>0</v>
      </c>
      <c r="J900" s="324"/>
    </row>
    <row r="901" spans="2:10" x14ac:dyDescent="0.2">
      <c r="B901" s="299" t="s">
        <v>320</v>
      </c>
      <c r="C901" s="306" t="s">
        <v>45</v>
      </c>
      <c r="D901" s="302">
        <f>+P237</f>
        <v>0</v>
      </c>
      <c r="E901" s="302">
        <f>+D901*(1+E902)*(1+E903)</f>
        <v>0</v>
      </c>
      <c r="F901" s="302">
        <f>+E901*(1+F902)*(1+F903)</f>
        <v>0</v>
      </c>
      <c r="G901" s="302">
        <f>+F901*(1+G902)*(1+G903)</f>
        <v>0</v>
      </c>
      <c r="H901" s="302">
        <f>+G901*(1+H902)*(1+H903)</f>
        <v>0</v>
      </c>
      <c r="I901" s="302">
        <f>+H901*(1+I902)*(1+I903)</f>
        <v>0</v>
      </c>
      <c r="J901" s="324"/>
    </row>
    <row r="902" spans="2:10" x14ac:dyDescent="0.2">
      <c r="B902" s="299" t="s">
        <v>318</v>
      </c>
      <c r="C902" s="306" t="s">
        <v>160</v>
      </c>
      <c r="D902" s="320"/>
      <c r="E902" s="321">
        <f>+$E$408</f>
        <v>3.3000000000000002E-2</v>
      </c>
      <c r="F902" s="321">
        <f>+$F$408</f>
        <v>3.5999999999999997E-2</v>
      </c>
      <c r="G902" s="321">
        <f>+$G$408</f>
        <v>4.2000000000000003E-2</v>
      </c>
      <c r="H902" s="321">
        <f>+$H$408</f>
        <v>4.8000000000000001E-2</v>
      </c>
      <c r="I902" s="321">
        <f>+$I$408</f>
        <v>5.3999999999999999E-2</v>
      </c>
      <c r="J902" s="324"/>
    </row>
    <row r="903" spans="2:10" x14ac:dyDescent="0.2">
      <c r="B903" s="299" t="s">
        <v>305</v>
      </c>
      <c r="C903" s="300"/>
      <c r="D903" s="320"/>
      <c r="E903" s="279">
        <v>0</v>
      </c>
      <c r="F903" s="279">
        <v>0</v>
      </c>
      <c r="G903" s="279">
        <v>0</v>
      </c>
      <c r="H903" s="279">
        <v>0</v>
      </c>
      <c r="I903" s="279">
        <v>0</v>
      </c>
      <c r="J903" s="324"/>
    </row>
    <row r="904" spans="2:10" ht="15" x14ac:dyDescent="0.25">
      <c r="B904" s="322" t="s">
        <v>317</v>
      </c>
      <c r="C904" s="306"/>
      <c r="D904" s="323">
        <f t="shared" ref="D904:I904" si="982">+D901*D896</f>
        <v>0</v>
      </c>
      <c r="E904" s="323">
        <f t="shared" si="982"/>
        <v>0</v>
      </c>
      <c r="F904" s="323">
        <f t="shared" si="982"/>
        <v>0</v>
      </c>
      <c r="G904" s="323">
        <f t="shared" si="982"/>
        <v>0</v>
      </c>
      <c r="H904" s="323">
        <f t="shared" si="982"/>
        <v>0</v>
      </c>
      <c r="I904" s="323">
        <f t="shared" si="982"/>
        <v>0</v>
      </c>
      <c r="J904" s="324"/>
    </row>
    <row r="905" spans="2:10" x14ac:dyDescent="0.2">
      <c r="B905" s="299" t="s">
        <v>321</v>
      </c>
      <c r="C905" s="306" t="s">
        <v>45</v>
      </c>
      <c r="D905" s="302">
        <f>+P239</f>
        <v>955.66899999999998</v>
      </c>
      <c r="E905" s="302">
        <f>+D905*(1+E906)*(1+E907)</f>
        <v>987.20607699999994</v>
      </c>
      <c r="F905" s="302">
        <f>+E905*(1+F906)*(1+F907)</f>
        <v>1022.7454957719999</v>
      </c>
      <c r="G905" s="302">
        <f>+F905*(1+G906)*(1+G907)</f>
        <v>1065.700806594424</v>
      </c>
      <c r="H905" s="302">
        <f>+G905*(1+H906)*(1+H907)</f>
        <v>1116.8544453109564</v>
      </c>
      <c r="I905" s="302">
        <f>+H905*(1+I906)*(1+I907)</f>
        <v>1177.1645853577481</v>
      </c>
    </row>
    <row r="906" spans="2:10" x14ac:dyDescent="0.2">
      <c r="B906" s="299" t="s">
        <v>318</v>
      </c>
      <c r="C906" s="306" t="s">
        <v>160</v>
      </c>
      <c r="D906" s="320"/>
      <c r="E906" s="321">
        <f>+$E$408</f>
        <v>3.3000000000000002E-2</v>
      </c>
      <c r="F906" s="321">
        <f>+$F$408</f>
        <v>3.5999999999999997E-2</v>
      </c>
      <c r="G906" s="321">
        <f>+$G$408</f>
        <v>4.2000000000000003E-2</v>
      </c>
      <c r="H906" s="321">
        <f>+$H$408</f>
        <v>4.8000000000000001E-2</v>
      </c>
      <c r="I906" s="321">
        <f>+$I$408</f>
        <v>5.3999999999999999E-2</v>
      </c>
    </row>
    <row r="907" spans="2:10" x14ac:dyDescent="0.2">
      <c r="B907" s="299" t="s">
        <v>305</v>
      </c>
      <c r="C907" s="300"/>
      <c r="D907" s="320"/>
      <c r="E907" s="279">
        <v>0</v>
      </c>
      <c r="F907" s="279">
        <v>0</v>
      </c>
      <c r="G907" s="279">
        <v>0</v>
      </c>
      <c r="H907" s="279">
        <v>0</v>
      </c>
      <c r="I907" s="279">
        <v>0</v>
      </c>
    </row>
    <row r="908" spans="2:10" ht="15" x14ac:dyDescent="0.25">
      <c r="B908" s="322" t="s">
        <v>317</v>
      </c>
      <c r="C908" s="306"/>
      <c r="D908" s="323">
        <f t="shared" ref="D908:I908" si="983">+D905*D896</f>
        <v>1587519.1160400005</v>
      </c>
      <c r="E908" s="323">
        <f t="shared" si="983"/>
        <v>1704904.8949789999</v>
      </c>
      <c r="F908" s="323">
        <f t="shared" si="983"/>
        <v>1836850.9104065117</v>
      </c>
      <c r="G908" s="323">
        <f t="shared" si="983"/>
        <v>1989663.4059117895</v>
      </c>
      <c r="H908" s="323">
        <f t="shared" si="983"/>
        <v>2167814.4783485662</v>
      </c>
      <c r="I908" s="323">
        <f t="shared" si="983"/>
        <v>2375518.1332519357</v>
      </c>
    </row>
    <row r="909" spans="2:10" x14ac:dyDescent="0.2">
      <c r="B909" s="316" t="str">
        <f>+Ingresos!B677</f>
        <v>Mandarina Oneco</v>
      </c>
      <c r="C909" s="317"/>
      <c r="D909" s="318"/>
      <c r="E909" s="318"/>
      <c r="F909" s="318"/>
      <c r="G909" s="318"/>
      <c r="H909" s="318"/>
      <c r="I909" s="318"/>
      <c r="J909" s="324"/>
    </row>
    <row r="910" spans="2:10" x14ac:dyDescent="0.2">
      <c r="B910" s="299" t="s">
        <v>159</v>
      </c>
      <c r="C910" s="319"/>
      <c r="D910" s="302">
        <f>+P310</f>
        <v>853.68</v>
      </c>
      <c r="E910" s="302">
        <f>+Ingresos!D678</f>
        <v>887</v>
      </c>
      <c r="F910" s="302">
        <f>+Ingresos!E678</f>
        <v>922</v>
      </c>
      <c r="G910" s="302">
        <f>+Ingresos!F678</f>
        <v>958</v>
      </c>
      <c r="H910" s="302">
        <f>+Ingresos!G678</f>
        <v>996</v>
      </c>
      <c r="I910" s="302">
        <f>+Ingresos!H678</f>
        <v>1035</v>
      </c>
      <c r="J910" s="324"/>
    </row>
    <row r="911" spans="2:10" x14ac:dyDescent="0.2">
      <c r="B911" s="299" t="s">
        <v>319</v>
      </c>
      <c r="C911" s="306" t="s">
        <v>45</v>
      </c>
      <c r="D911" s="302">
        <f>+P249</f>
        <v>496.66</v>
      </c>
      <c r="E911" s="302">
        <f>+D911*(1+E912)*(1+E913)</f>
        <v>513.04977999999994</v>
      </c>
      <c r="F911" s="302">
        <f>+E911*(1+F912)*(1+F913)</f>
        <v>531.51957207999999</v>
      </c>
      <c r="G911" s="302">
        <f>+F911*(1+G912)*(1+G913)</f>
        <v>553.84339410736004</v>
      </c>
      <c r="H911" s="302">
        <f>+G911*(1+H912)*(1+H913)</f>
        <v>580.42787702451335</v>
      </c>
      <c r="I911" s="302">
        <f>+H911*(1+I912)*(1+I913)</f>
        <v>611.77098238383712</v>
      </c>
      <c r="J911" s="324"/>
    </row>
    <row r="912" spans="2:10" x14ac:dyDescent="0.2">
      <c r="B912" s="299" t="s">
        <v>318</v>
      </c>
      <c r="C912" s="306" t="s">
        <v>160</v>
      </c>
      <c r="D912" s="320"/>
      <c r="E912" s="321">
        <f>+E898</f>
        <v>3.3000000000000002E-2</v>
      </c>
      <c r="F912" s="321">
        <f>F562</f>
        <v>3.5999999999999997E-2</v>
      </c>
      <c r="G912" s="321">
        <f>G562</f>
        <v>4.2000000000000003E-2</v>
      </c>
      <c r="H912" s="321">
        <f>H562</f>
        <v>4.8000000000000001E-2</v>
      </c>
      <c r="I912" s="321">
        <f>+$I$408</f>
        <v>5.3999999999999999E-2</v>
      </c>
      <c r="J912" s="324"/>
    </row>
    <row r="913" spans="2:10" x14ac:dyDescent="0.2">
      <c r="B913" s="299" t="s">
        <v>305</v>
      </c>
      <c r="C913" s="300"/>
      <c r="D913" s="320"/>
      <c r="E913" s="279">
        <v>0</v>
      </c>
      <c r="F913" s="279">
        <v>0</v>
      </c>
      <c r="G913" s="279">
        <v>0</v>
      </c>
      <c r="H913" s="279">
        <v>0</v>
      </c>
      <c r="I913" s="279">
        <v>0</v>
      </c>
      <c r="J913" s="324"/>
    </row>
    <row r="914" spans="2:10" ht="15" x14ac:dyDescent="0.25">
      <c r="B914" s="322" t="s">
        <v>317</v>
      </c>
      <c r="C914" s="306"/>
      <c r="D914" s="304">
        <f t="shared" ref="D914:I914" si="984">D910*D911</f>
        <v>423988.70880000002</v>
      </c>
      <c r="E914" s="304">
        <f t="shared" si="984"/>
        <v>455075.15485999995</v>
      </c>
      <c r="F914" s="304">
        <f t="shared" si="984"/>
        <v>490061.04545775999</v>
      </c>
      <c r="G914" s="304">
        <f t="shared" si="984"/>
        <v>530581.97155485093</v>
      </c>
      <c r="H914" s="304">
        <f t="shared" si="984"/>
        <v>578106.16551641526</v>
      </c>
      <c r="I914" s="304">
        <f t="shared" si="984"/>
        <v>633182.9667672714</v>
      </c>
      <c r="J914" s="324"/>
    </row>
    <row r="915" spans="2:10" x14ac:dyDescent="0.2">
      <c r="B915" s="299" t="s">
        <v>320</v>
      </c>
      <c r="C915" s="306" t="s">
        <v>45</v>
      </c>
      <c r="D915" s="302">
        <f>+P251</f>
        <v>0</v>
      </c>
      <c r="E915" s="302">
        <f>+D915*(1+E916)*(1+E917)</f>
        <v>0</v>
      </c>
      <c r="F915" s="302">
        <f>+E915*(1+F916)*(1+F917)</f>
        <v>0</v>
      </c>
      <c r="G915" s="302">
        <f>+F915*(1+G916)*(1+G917)</f>
        <v>0</v>
      </c>
      <c r="H915" s="302">
        <f>+G915*(1+H916)*(1+H917)</f>
        <v>0</v>
      </c>
      <c r="I915" s="302">
        <f>+H915*(1+I916)*(1+I917)</f>
        <v>0</v>
      </c>
      <c r="J915" s="324"/>
    </row>
    <row r="916" spans="2:10" x14ac:dyDescent="0.2">
      <c r="B916" s="299" t="s">
        <v>318</v>
      </c>
      <c r="C916" s="306" t="s">
        <v>160</v>
      </c>
      <c r="D916" s="320"/>
      <c r="E916" s="321">
        <f>+$E$408</f>
        <v>3.3000000000000002E-2</v>
      </c>
      <c r="F916" s="321">
        <f>+$F$408</f>
        <v>3.5999999999999997E-2</v>
      </c>
      <c r="G916" s="321">
        <f>+$G$408</f>
        <v>4.2000000000000003E-2</v>
      </c>
      <c r="H916" s="321">
        <f>+$H$408</f>
        <v>4.8000000000000001E-2</v>
      </c>
      <c r="I916" s="321">
        <f>+$I$408</f>
        <v>5.3999999999999999E-2</v>
      </c>
      <c r="J916" s="324"/>
    </row>
    <row r="917" spans="2:10" x14ac:dyDescent="0.2">
      <c r="B917" s="299" t="s">
        <v>305</v>
      </c>
      <c r="C917" s="300"/>
      <c r="D917" s="320"/>
      <c r="E917" s="279">
        <v>0</v>
      </c>
      <c r="F917" s="279">
        <v>0</v>
      </c>
      <c r="G917" s="279">
        <v>0</v>
      </c>
      <c r="H917" s="279">
        <v>0</v>
      </c>
      <c r="I917" s="279">
        <v>0</v>
      </c>
      <c r="J917" s="324"/>
    </row>
    <row r="918" spans="2:10" ht="15" x14ac:dyDescent="0.25">
      <c r="B918" s="322" t="s">
        <v>317</v>
      </c>
      <c r="C918" s="306"/>
      <c r="D918" s="323">
        <f t="shared" ref="D918:I918" si="985">+D915*D910</f>
        <v>0</v>
      </c>
      <c r="E918" s="323">
        <f t="shared" si="985"/>
        <v>0</v>
      </c>
      <c r="F918" s="323">
        <f t="shared" si="985"/>
        <v>0</v>
      </c>
      <c r="G918" s="323">
        <f t="shared" si="985"/>
        <v>0</v>
      </c>
      <c r="H918" s="323">
        <f t="shared" si="985"/>
        <v>0</v>
      </c>
      <c r="I918" s="323">
        <f t="shared" si="985"/>
        <v>0</v>
      </c>
      <c r="J918" s="324"/>
    </row>
    <row r="919" spans="2:10" x14ac:dyDescent="0.2">
      <c r="B919" s="299" t="s">
        <v>321</v>
      </c>
      <c r="C919" s="306" t="s">
        <v>45</v>
      </c>
      <c r="D919" s="302">
        <f>+P253</f>
        <v>0</v>
      </c>
      <c r="E919" s="302">
        <f>+D919*(1+E920)*(1+E921)</f>
        <v>0</v>
      </c>
      <c r="F919" s="302">
        <f>+E919*(1+F920)*(1+F921)</f>
        <v>0</v>
      </c>
      <c r="G919" s="302">
        <f>+F919*(1+G920)*(1+G921)</f>
        <v>0</v>
      </c>
      <c r="H919" s="302">
        <f>+G919*(1+H920)*(1+H921)</f>
        <v>0</v>
      </c>
      <c r="I919" s="302">
        <f>+H919*(1+I920)*(1+I921)</f>
        <v>0</v>
      </c>
    </row>
    <row r="920" spans="2:10" x14ac:dyDescent="0.2">
      <c r="B920" s="299" t="s">
        <v>318</v>
      </c>
      <c r="C920" s="306" t="s">
        <v>160</v>
      </c>
      <c r="D920" s="320"/>
      <c r="E920" s="321">
        <f>+$E$408</f>
        <v>3.3000000000000002E-2</v>
      </c>
      <c r="F920" s="321">
        <f>+$F$408</f>
        <v>3.5999999999999997E-2</v>
      </c>
      <c r="G920" s="321">
        <f>+$G$408</f>
        <v>4.2000000000000003E-2</v>
      </c>
      <c r="H920" s="321">
        <f>+$H$408</f>
        <v>4.8000000000000001E-2</v>
      </c>
      <c r="I920" s="321">
        <f>+$I$408</f>
        <v>5.3999999999999999E-2</v>
      </c>
    </row>
    <row r="921" spans="2:10" x14ac:dyDescent="0.2">
      <c r="B921" s="299" t="s">
        <v>305</v>
      </c>
      <c r="C921" s="300"/>
      <c r="D921" s="320"/>
      <c r="E921" s="279">
        <v>0</v>
      </c>
      <c r="F921" s="279">
        <v>0</v>
      </c>
      <c r="G921" s="279">
        <v>0</v>
      </c>
      <c r="H921" s="279">
        <v>0</v>
      </c>
      <c r="I921" s="279">
        <v>0</v>
      </c>
    </row>
    <row r="922" spans="2:10" ht="15" x14ac:dyDescent="0.25">
      <c r="B922" s="322" t="s">
        <v>317</v>
      </c>
      <c r="C922" s="306"/>
      <c r="D922" s="323">
        <f t="shared" ref="D922:I922" si="986">+D919*D910</f>
        <v>0</v>
      </c>
      <c r="E922" s="323">
        <f t="shared" si="986"/>
        <v>0</v>
      </c>
      <c r="F922" s="323">
        <f t="shared" si="986"/>
        <v>0</v>
      </c>
      <c r="G922" s="323">
        <f t="shared" si="986"/>
        <v>0</v>
      </c>
      <c r="H922" s="323">
        <f t="shared" si="986"/>
        <v>0</v>
      </c>
      <c r="I922" s="323">
        <f t="shared" si="986"/>
        <v>0</v>
      </c>
    </row>
    <row r="923" spans="2:10" x14ac:dyDescent="0.2">
      <c r="B923" s="316" t="str">
        <f>+Ingresos!B685</f>
        <v>Mango Tommy</v>
      </c>
      <c r="C923" s="317"/>
      <c r="D923" s="318"/>
      <c r="E923" s="318"/>
      <c r="F923" s="318"/>
      <c r="G923" s="318"/>
      <c r="H923" s="318"/>
      <c r="I923" s="318"/>
      <c r="J923" s="324"/>
    </row>
    <row r="924" spans="2:10" x14ac:dyDescent="0.2">
      <c r="B924" s="299" t="s">
        <v>159</v>
      </c>
      <c r="C924" s="319"/>
      <c r="D924" s="302">
        <f>+P318</f>
        <v>1626.12</v>
      </c>
      <c r="E924" s="302">
        <f>+Ingresos!D686</f>
        <v>1691</v>
      </c>
      <c r="F924" s="302">
        <f>+Ingresos!E686</f>
        <v>1758</v>
      </c>
      <c r="G924" s="302">
        <f>+Ingresos!F686</f>
        <v>1828</v>
      </c>
      <c r="H924" s="302">
        <f>+Ingresos!G686</f>
        <v>1901</v>
      </c>
      <c r="I924" s="302">
        <f>+Ingresos!H686</f>
        <v>1977</v>
      </c>
      <c r="J924" s="324"/>
    </row>
    <row r="925" spans="2:10" x14ac:dyDescent="0.2">
      <c r="B925" s="299" t="s">
        <v>319</v>
      </c>
      <c r="C925" s="306" t="s">
        <v>45</v>
      </c>
      <c r="D925" s="302">
        <f>+P263</f>
        <v>6780.3710000000001</v>
      </c>
      <c r="E925" s="302">
        <f>+D925*(1+E926)*(1+E927)</f>
        <v>7004.1232429999991</v>
      </c>
      <c r="F925" s="302">
        <f>+E925*(1+F926)*(1+F927)</f>
        <v>7256.2716797479989</v>
      </c>
      <c r="G925" s="302">
        <f>+F925*(1+G926)*(1+G927)</f>
        <v>7561.0350902974151</v>
      </c>
      <c r="H925" s="302">
        <f>+G925*(1+H926)*(1+H927)</f>
        <v>7923.9647746316914</v>
      </c>
      <c r="I925" s="302">
        <f>+H925*(1+I926)*(1+I927)</f>
        <v>8351.8588724618039</v>
      </c>
      <c r="J925" s="324"/>
    </row>
    <row r="926" spans="2:10" x14ac:dyDescent="0.2">
      <c r="B926" s="299" t="s">
        <v>318</v>
      </c>
      <c r="C926" s="306" t="s">
        <v>160</v>
      </c>
      <c r="D926" s="320"/>
      <c r="E926" s="321">
        <f>+E912</f>
        <v>3.3000000000000002E-2</v>
      </c>
      <c r="F926" s="321">
        <f>F576</f>
        <v>3.5999999999999997E-2</v>
      </c>
      <c r="G926" s="321">
        <f>G576</f>
        <v>4.2000000000000003E-2</v>
      </c>
      <c r="H926" s="321">
        <f>H576</f>
        <v>4.8000000000000001E-2</v>
      </c>
      <c r="I926" s="321">
        <f>+$I$408</f>
        <v>5.3999999999999999E-2</v>
      </c>
      <c r="J926" s="324"/>
    </row>
    <row r="927" spans="2:10" x14ac:dyDescent="0.2">
      <c r="B927" s="299" t="s">
        <v>305</v>
      </c>
      <c r="C927" s="300"/>
      <c r="D927" s="320"/>
      <c r="E927" s="279">
        <v>0</v>
      </c>
      <c r="F927" s="279">
        <v>0</v>
      </c>
      <c r="G927" s="279">
        <v>0</v>
      </c>
      <c r="H927" s="279">
        <v>0</v>
      </c>
      <c r="I927" s="279">
        <v>0</v>
      </c>
      <c r="J927" s="324"/>
    </row>
    <row r="928" spans="2:10" ht="15" x14ac:dyDescent="0.25">
      <c r="B928" s="322" t="s">
        <v>317</v>
      </c>
      <c r="C928" s="306"/>
      <c r="D928" s="304">
        <f t="shared" ref="D928:I928" si="987">D924*D925</f>
        <v>11025696.890519999</v>
      </c>
      <c r="E928" s="304">
        <f t="shared" si="987"/>
        <v>11843972.403912999</v>
      </c>
      <c r="F928" s="304">
        <f t="shared" si="987"/>
        <v>12756525.612996982</v>
      </c>
      <c r="G928" s="304">
        <f t="shared" si="987"/>
        <v>13821572.145063674</v>
      </c>
      <c r="H928" s="304">
        <f t="shared" si="987"/>
        <v>15063457.036574846</v>
      </c>
      <c r="I928" s="304">
        <f t="shared" si="987"/>
        <v>16511624.990856986</v>
      </c>
      <c r="J928" s="324"/>
    </row>
    <row r="929" spans="2:10" x14ac:dyDescent="0.2">
      <c r="B929" s="299" t="s">
        <v>320</v>
      </c>
      <c r="C929" s="306" t="s">
        <v>45</v>
      </c>
      <c r="D929" s="302">
        <f>+P265</f>
        <v>1078</v>
      </c>
      <c r="E929" s="302">
        <f>+D929*(1+E930)*(1+E931)</f>
        <v>1113.5739999999998</v>
      </c>
      <c r="F929" s="302">
        <f>+E929*(1+F930)*(1+F931)</f>
        <v>1153.6626639999999</v>
      </c>
      <c r="G929" s="302">
        <f>+F929*(1+G930)*(1+G931)</f>
        <v>1202.1164958879999</v>
      </c>
      <c r="H929" s="302">
        <f>+G929*(1+H930)*(1+H931)</f>
        <v>1259.818087690624</v>
      </c>
      <c r="I929" s="302">
        <f>+H929*(1+I930)*(1+I931)</f>
        <v>1327.8482644259177</v>
      </c>
      <c r="J929" s="324"/>
    </row>
    <row r="930" spans="2:10" x14ac:dyDescent="0.2">
      <c r="B930" s="299" t="s">
        <v>318</v>
      </c>
      <c r="C930" s="306" t="s">
        <v>160</v>
      </c>
      <c r="D930" s="320"/>
      <c r="E930" s="321">
        <f>+$E$408</f>
        <v>3.3000000000000002E-2</v>
      </c>
      <c r="F930" s="321">
        <f>+$F$408</f>
        <v>3.5999999999999997E-2</v>
      </c>
      <c r="G930" s="321">
        <f>+$G$408</f>
        <v>4.2000000000000003E-2</v>
      </c>
      <c r="H930" s="321">
        <f>+$H$408</f>
        <v>4.8000000000000001E-2</v>
      </c>
      <c r="I930" s="321">
        <f>+$I$408</f>
        <v>5.3999999999999999E-2</v>
      </c>
      <c r="J930" s="324"/>
    </row>
    <row r="931" spans="2:10" x14ac:dyDescent="0.2">
      <c r="B931" s="299" t="s">
        <v>305</v>
      </c>
      <c r="C931" s="300"/>
      <c r="D931" s="320"/>
      <c r="E931" s="279">
        <v>0</v>
      </c>
      <c r="F931" s="279">
        <v>0</v>
      </c>
      <c r="G931" s="279">
        <v>0</v>
      </c>
      <c r="H931" s="279">
        <v>0</v>
      </c>
      <c r="I931" s="279">
        <v>0</v>
      </c>
      <c r="J931" s="324"/>
    </row>
    <row r="932" spans="2:10" ht="15" x14ac:dyDescent="0.25">
      <c r="B932" s="322" t="s">
        <v>317</v>
      </c>
      <c r="C932" s="306"/>
      <c r="D932" s="323">
        <f t="shared" ref="D932:I932" si="988">+D929*D924</f>
        <v>1752957.3599999999</v>
      </c>
      <c r="E932" s="323">
        <f t="shared" si="988"/>
        <v>1883053.6339999998</v>
      </c>
      <c r="F932" s="323">
        <f t="shared" si="988"/>
        <v>2028138.9633119998</v>
      </c>
      <c r="G932" s="323">
        <f t="shared" si="988"/>
        <v>2197468.9544832637</v>
      </c>
      <c r="H932" s="323">
        <f t="shared" si="988"/>
        <v>2394914.1846998762</v>
      </c>
      <c r="I932" s="323">
        <f t="shared" si="988"/>
        <v>2625156.0187700391</v>
      </c>
      <c r="J932" s="324"/>
    </row>
    <row r="933" spans="2:10" x14ac:dyDescent="0.2">
      <c r="B933" s="299" t="s">
        <v>321</v>
      </c>
      <c r="C933" s="306" t="s">
        <v>45</v>
      </c>
      <c r="D933" s="302">
        <f>+P267</f>
        <v>0</v>
      </c>
      <c r="E933" s="302">
        <f>+D933*(1+E934)*(1+E935)</f>
        <v>0</v>
      </c>
      <c r="F933" s="302">
        <f>+E933*(1+F934)*(1+F935)</f>
        <v>0</v>
      </c>
      <c r="G933" s="302">
        <f>+F933*(1+G934)*(1+G935)</f>
        <v>0</v>
      </c>
      <c r="H933" s="302">
        <f>+G933*(1+H934)*(1+H935)</f>
        <v>0</v>
      </c>
      <c r="I933" s="302">
        <f>+H933*(1+I934)*(1+I935)</f>
        <v>0</v>
      </c>
    </row>
    <row r="934" spans="2:10" x14ac:dyDescent="0.2">
      <c r="B934" s="299" t="s">
        <v>318</v>
      </c>
      <c r="C934" s="306" t="s">
        <v>160</v>
      </c>
      <c r="D934" s="320"/>
      <c r="E934" s="321">
        <f>+$E$408</f>
        <v>3.3000000000000002E-2</v>
      </c>
      <c r="F934" s="321">
        <f>+$F$408</f>
        <v>3.5999999999999997E-2</v>
      </c>
      <c r="G934" s="321">
        <f>+$G$408</f>
        <v>4.2000000000000003E-2</v>
      </c>
      <c r="H934" s="321">
        <f>+$H$408</f>
        <v>4.8000000000000001E-2</v>
      </c>
      <c r="I934" s="321">
        <f>+$I$408</f>
        <v>5.3999999999999999E-2</v>
      </c>
    </row>
    <row r="935" spans="2:10" x14ac:dyDescent="0.2">
      <c r="B935" s="299" t="s">
        <v>305</v>
      </c>
      <c r="C935" s="300"/>
      <c r="D935" s="320"/>
      <c r="E935" s="279">
        <v>0</v>
      </c>
      <c r="F935" s="279">
        <v>0</v>
      </c>
      <c r="G935" s="279">
        <v>0</v>
      </c>
      <c r="H935" s="279">
        <v>0</v>
      </c>
      <c r="I935" s="279">
        <v>0</v>
      </c>
    </row>
    <row r="936" spans="2:10" ht="15" x14ac:dyDescent="0.25">
      <c r="B936" s="322" t="s">
        <v>317</v>
      </c>
      <c r="C936" s="306"/>
      <c r="D936" s="323">
        <f t="shared" ref="D936:I936" si="989">+D933*D924</f>
        <v>0</v>
      </c>
      <c r="E936" s="323">
        <f t="shared" si="989"/>
        <v>0</v>
      </c>
      <c r="F936" s="323">
        <f t="shared" si="989"/>
        <v>0</v>
      </c>
      <c r="G936" s="323">
        <f t="shared" si="989"/>
        <v>0</v>
      </c>
      <c r="H936" s="323">
        <f t="shared" si="989"/>
        <v>0</v>
      </c>
      <c r="I936" s="323">
        <f t="shared" si="989"/>
        <v>0</v>
      </c>
    </row>
    <row r="937" spans="2:10" x14ac:dyDescent="0.2">
      <c r="B937" s="316" t="str">
        <f>+Ingresos!B693</f>
        <v>Maracuyá Regional</v>
      </c>
      <c r="C937" s="317"/>
      <c r="D937" s="318"/>
      <c r="E937" s="318"/>
      <c r="F937" s="318"/>
      <c r="G937" s="318"/>
      <c r="H937" s="318"/>
      <c r="I937" s="318"/>
      <c r="J937" s="324"/>
    </row>
    <row r="938" spans="2:10" x14ac:dyDescent="0.2">
      <c r="B938" s="299" t="s">
        <v>159</v>
      </c>
      <c r="C938" s="319"/>
      <c r="D938" s="302">
        <f>+P326</f>
        <v>2683.08</v>
      </c>
      <c r="E938" s="302">
        <f>+Ingresos!D694</f>
        <v>2790</v>
      </c>
      <c r="F938" s="302">
        <f>+Ingresos!E694</f>
        <v>2901</v>
      </c>
      <c r="G938" s="302">
        <f>+Ingresos!F694</f>
        <v>3017</v>
      </c>
      <c r="H938" s="302">
        <f>+Ingresos!G694</f>
        <v>3137</v>
      </c>
      <c r="I938" s="302">
        <f>+Ingresos!H694</f>
        <v>3262</v>
      </c>
      <c r="J938" s="324"/>
    </row>
    <row r="939" spans="2:10" x14ac:dyDescent="0.2">
      <c r="B939" s="299" t="s">
        <v>319</v>
      </c>
      <c r="C939" s="306" t="s">
        <v>45</v>
      </c>
      <c r="D939" s="302">
        <f>+P277</f>
        <v>0</v>
      </c>
      <c r="E939" s="302">
        <f>+D939*(1+E940)*(1+E941)</f>
        <v>0</v>
      </c>
      <c r="F939" s="302">
        <f>+E939*(1+F940)*(1+F941)</f>
        <v>0</v>
      </c>
      <c r="G939" s="302">
        <f>+F939*(1+G940)*(1+G941)</f>
        <v>0</v>
      </c>
      <c r="H939" s="302">
        <f>+G939*(1+H940)*(1+H941)</f>
        <v>0</v>
      </c>
      <c r="I939" s="302">
        <f>+H939*(1+I940)*(1+I941)</f>
        <v>0</v>
      </c>
      <c r="J939" s="324"/>
    </row>
    <row r="940" spans="2:10" x14ac:dyDescent="0.2">
      <c r="B940" s="299" t="s">
        <v>318</v>
      </c>
      <c r="C940" s="306" t="s">
        <v>160</v>
      </c>
      <c r="D940" s="320"/>
      <c r="E940" s="321">
        <f>+E926</f>
        <v>3.3000000000000002E-2</v>
      </c>
      <c r="F940" s="321">
        <f>F590</f>
        <v>3.5999999999999997E-2</v>
      </c>
      <c r="G940" s="321">
        <f>G590</f>
        <v>4.2000000000000003E-2</v>
      </c>
      <c r="H940" s="321">
        <f>H590</f>
        <v>4.8000000000000001E-2</v>
      </c>
      <c r="I940" s="321">
        <f>+$I$408</f>
        <v>5.3999999999999999E-2</v>
      </c>
      <c r="J940" s="324"/>
    </row>
    <row r="941" spans="2:10" x14ac:dyDescent="0.2">
      <c r="B941" s="299" t="s">
        <v>305</v>
      </c>
      <c r="C941" s="300"/>
      <c r="D941" s="320"/>
      <c r="E941" s="279">
        <v>0</v>
      </c>
      <c r="F941" s="279">
        <v>0</v>
      </c>
      <c r="G941" s="279">
        <v>0</v>
      </c>
      <c r="H941" s="279">
        <v>0</v>
      </c>
      <c r="I941" s="279">
        <v>0</v>
      </c>
      <c r="J941" s="324"/>
    </row>
    <row r="942" spans="2:10" ht="15" x14ac:dyDescent="0.25">
      <c r="B942" s="322" t="s">
        <v>317</v>
      </c>
      <c r="C942" s="306"/>
      <c r="D942" s="304">
        <f t="shared" ref="D942:I942" si="990">D938*D939</f>
        <v>0</v>
      </c>
      <c r="E942" s="304">
        <f t="shared" si="990"/>
        <v>0</v>
      </c>
      <c r="F942" s="304">
        <f t="shared" si="990"/>
        <v>0</v>
      </c>
      <c r="G942" s="304">
        <f t="shared" si="990"/>
        <v>0</v>
      </c>
      <c r="H942" s="304">
        <f t="shared" si="990"/>
        <v>0</v>
      </c>
      <c r="I942" s="304">
        <f t="shared" si="990"/>
        <v>0</v>
      </c>
      <c r="J942" s="324"/>
    </row>
    <row r="943" spans="2:10" x14ac:dyDescent="0.2">
      <c r="B943" s="299" t="s">
        <v>320</v>
      </c>
      <c r="C943" s="306" t="s">
        <v>45</v>
      </c>
      <c r="D943" s="302">
        <f>+P279</f>
        <v>1045.0309999999999</v>
      </c>
      <c r="E943" s="302">
        <f>+D943*(1+E944)*(1+E945)</f>
        <v>1079.5170229999999</v>
      </c>
      <c r="F943" s="302">
        <f>+E943*(1+F944)*(1+F945)</f>
        <v>1118.3796358279999</v>
      </c>
      <c r="G943" s="302">
        <f>+F943*(1+G944)*(1+G945)</f>
        <v>1165.3515805327759</v>
      </c>
      <c r="H943" s="302">
        <f>+G943*(1+H944)*(1+H945)</f>
        <v>1221.2884563983491</v>
      </c>
      <c r="I943" s="302">
        <f>+H943*(1+I944)*(1+I945)</f>
        <v>1287.23803304386</v>
      </c>
      <c r="J943" s="324"/>
    </row>
    <row r="944" spans="2:10" x14ac:dyDescent="0.2">
      <c r="B944" s="299" t="s">
        <v>318</v>
      </c>
      <c r="C944" s="306" t="s">
        <v>160</v>
      </c>
      <c r="D944" s="320"/>
      <c r="E944" s="321">
        <f>+$E$408</f>
        <v>3.3000000000000002E-2</v>
      </c>
      <c r="F944" s="321">
        <f>+$F$408</f>
        <v>3.5999999999999997E-2</v>
      </c>
      <c r="G944" s="321">
        <f>+$G$408</f>
        <v>4.2000000000000003E-2</v>
      </c>
      <c r="H944" s="321">
        <f>+$H$408</f>
        <v>4.8000000000000001E-2</v>
      </c>
      <c r="I944" s="321">
        <f>+$I$408</f>
        <v>5.3999999999999999E-2</v>
      </c>
      <c r="J944" s="324"/>
    </row>
    <row r="945" spans="2:10" x14ac:dyDescent="0.2">
      <c r="B945" s="299" t="s">
        <v>305</v>
      </c>
      <c r="C945" s="300"/>
      <c r="D945" s="320"/>
      <c r="E945" s="279">
        <v>0</v>
      </c>
      <c r="F945" s="279">
        <v>0</v>
      </c>
      <c r="G945" s="279">
        <v>0</v>
      </c>
      <c r="H945" s="279">
        <v>0</v>
      </c>
      <c r="I945" s="279">
        <v>0</v>
      </c>
      <c r="J945" s="324"/>
    </row>
    <row r="946" spans="2:10" ht="15" x14ac:dyDescent="0.25">
      <c r="B946" s="322" t="s">
        <v>317</v>
      </c>
      <c r="C946" s="306"/>
      <c r="D946" s="323">
        <f t="shared" ref="D946:I946" si="991">+D943*D938</f>
        <v>2803901.7754799998</v>
      </c>
      <c r="E946" s="323">
        <f t="shared" si="991"/>
        <v>3011852.4941699998</v>
      </c>
      <c r="F946" s="323">
        <f t="shared" si="991"/>
        <v>3244419.3235370275</v>
      </c>
      <c r="G946" s="323">
        <f t="shared" si="991"/>
        <v>3515865.7184673846</v>
      </c>
      <c r="H946" s="323">
        <f t="shared" si="991"/>
        <v>3831181.8877216214</v>
      </c>
      <c r="I946" s="323">
        <f t="shared" si="991"/>
        <v>4198970.463789071</v>
      </c>
      <c r="J946" s="324"/>
    </row>
    <row r="947" spans="2:10" x14ac:dyDescent="0.2">
      <c r="B947" s="299" t="s">
        <v>321</v>
      </c>
      <c r="C947" s="306" t="s">
        <v>45</v>
      </c>
      <c r="D947" s="302">
        <f>+P281</f>
        <v>97.81</v>
      </c>
      <c r="E947" s="302">
        <f>+D947*(1+E948)*(1+E949)</f>
        <v>101.03773</v>
      </c>
      <c r="F947" s="302">
        <f>+E947*(1+F948)*(1+F949)</f>
        <v>104.67508828</v>
      </c>
      <c r="G947" s="302">
        <f>+F947*(1+G948)*(1+G949)</f>
        <v>109.07144198776</v>
      </c>
      <c r="H947" s="302">
        <f>+G947*(1+H948)*(1+H949)</f>
        <v>114.30687120317248</v>
      </c>
      <c r="I947" s="302">
        <f>+H947*(1+I948)*(1+I949)</f>
        <v>120.4794422481438</v>
      </c>
    </row>
    <row r="948" spans="2:10" x14ac:dyDescent="0.2">
      <c r="B948" s="299" t="s">
        <v>318</v>
      </c>
      <c r="C948" s="306" t="s">
        <v>160</v>
      </c>
      <c r="D948" s="320"/>
      <c r="E948" s="321">
        <f>+$E$408</f>
        <v>3.3000000000000002E-2</v>
      </c>
      <c r="F948" s="321">
        <f>+$F$408</f>
        <v>3.5999999999999997E-2</v>
      </c>
      <c r="G948" s="321">
        <f>+$G$408</f>
        <v>4.2000000000000003E-2</v>
      </c>
      <c r="H948" s="321">
        <f>+$H$408</f>
        <v>4.8000000000000001E-2</v>
      </c>
      <c r="I948" s="321">
        <f>+$I$408</f>
        <v>5.3999999999999999E-2</v>
      </c>
    </row>
    <row r="949" spans="2:10" x14ac:dyDescent="0.2">
      <c r="B949" s="299" t="s">
        <v>305</v>
      </c>
      <c r="C949" s="300"/>
      <c r="D949" s="320"/>
      <c r="E949" s="279">
        <v>0</v>
      </c>
      <c r="F949" s="279">
        <v>0</v>
      </c>
      <c r="G949" s="279">
        <v>0</v>
      </c>
      <c r="H949" s="279">
        <v>0</v>
      </c>
      <c r="I949" s="279">
        <v>0</v>
      </c>
    </row>
    <row r="950" spans="2:10" ht="15" x14ac:dyDescent="0.25">
      <c r="B950" s="322" t="s">
        <v>317</v>
      </c>
      <c r="C950" s="306"/>
      <c r="D950" s="323">
        <f t="shared" ref="D950:I950" si="992">+D947*D938</f>
        <v>262432.05479999998</v>
      </c>
      <c r="E950" s="323">
        <f t="shared" si="992"/>
        <v>281895.26669999998</v>
      </c>
      <c r="F950" s="323">
        <f t="shared" si="992"/>
        <v>303662.43110027997</v>
      </c>
      <c r="G950" s="323">
        <f t="shared" si="992"/>
        <v>329068.54047707189</v>
      </c>
      <c r="H950" s="323">
        <f t="shared" si="992"/>
        <v>358580.65496435208</v>
      </c>
      <c r="I950" s="323">
        <f t="shared" si="992"/>
        <v>393003.94061344507</v>
      </c>
    </row>
    <row r="951" spans="2:10" x14ac:dyDescent="0.2">
      <c r="B951" s="316" t="str">
        <f>+Ingresos!B324</f>
        <v>Mora Castilla</v>
      </c>
      <c r="C951" s="317"/>
      <c r="D951" s="318"/>
      <c r="E951" s="318"/>
      <c r="F951" s="318"/>
      <c r="G951" s="318"/>
      <c r="H951" s="318"/>
      <c r="I951" s="318"/>
      <c r="J951" s="324"/>
    </row>
    <row r="952" spans="2:10" x14ac:dyDescent="0.2">
      <c r="B952" s="299" t="s">
        <v>159</v>
      </c>
      <c r="C952" s="319"/>
      <c r="D952" s="302">
        <f>+P334</f>
        <v>2113.9200000000005</v>
      </c>
      <c r="E952" s="302">
        <f>+Ingresos!D702</f>
        <v>2198</v>
      </c>
      <c r="F952" s="302">
        <f>+Ingresos!E702</f>
        <v>2285</v>
      </c>
      <c r="G952" s="302">
        <f>+Ingresos!F702</f>
        <v>2376</v>
      </c>
      <c r="H952" s="302">
        <f>+Ingresos!G702</f>
        <v>2471</v>
      </c>
      <c r="I952" s="302">
        <f>+Ingresos!H702</f>
        <v>2569</v>
      </c>
      <c r="J952" s="324"/>
    </row>
    <row r="953" spans="2:10" x14ac:dyDescent="0.2">
      <c r="B953" s="299" t="s">
        <v>319</v>
      </c>
      <c r="C953" s="306" t="s">
        <v>45</v>
      </c>
      <c r="D953" s="302">
        <f>+P291</f>
        <v>0</v>
      </c>
      <c r="E953" s="302">
        <f>+D953*(1+E954)*(1+E955)</f>
        <v>0</v>
      </c>
      <c r="F953" s="302">
        <f>+E953*(1+F954)*(1+F955)</f>
        <v>0</v>
      </c>
      <c r="G953" s="302">
        <f>+F953*(1+G954)*(1+G955)</f>
        <v>0</v>
      </c>
      <c r="H953" s="302">
        <f>+G953*(1+H954)*(1+H955)</f>
        <v>0</v>
      </c>
      <c r="I953" s="302">
        <f>+H953*(1+I954)*(1+I955)</f>
        <v>0</v>
      </c>
      <c r="J953" s="324"/>
    </row>
    <row r="954" spans="2:10" x14ac:dyDescent="0.2">
      <c r="B954" s="299" t="s">
        <v>318</v>
      </c>
      <c r="C954" s="306" t="s">
        <v>160</v>
      </c>
      <c r="D954" s="320"/>
      <c r="E954" s="321">
        <f>+E940</f>
        <v>3.3000000000000002E-2</v>
      </c>
      <c r="F954" s="321">
        <f>F604</f>
        <v>3.5999999999999997E-2</v>
      </c>
      <c r="G954" s="321">
        <f>G604</f>
        <v>4.2000000000000003E-2</v>
      </c>
      <c r="H954" s="321">
        <f>H604</f>
        <v>4.8000000000000001E-2</v>
      </c>
      <c r="I954" s="321">
        <f>+$I$408</f>
        <v>5.3999999999999999E-2</v>
      </c>
      <c r="J954" s="324"/>
    </row>
    <row r="955" spans="2:10" x14ac:dyDescent="0.2">
      <c r="B955" s="299" t="s">
        <v>305</v>
      </c>
      <c r="C955" s="300"/>
      <c r="D955" s="320"/>
      <c r="E955" s="279">
        <v>0</v>
      </c>
      <c r="F955" s="279">
        <v>0</v>
      </c>
      <c r="G955" s="279">
        <v>0</v>
      </c>
      <c r="H955" s="279">
        <v>0</v>
      </c>
      <c r="I955" s="279">
        <v>0</v>
      </c>
      <c r="J955" s="324"/>
    </row>
    <row r="956" spans="2:10" ht="15" x14ac:dyDescent="0.25">
      <c r="B956" s="322" t="s">
        <v>317</v>
      </c>
      <c r="C956" s="306"/>
      <c r="D956" s="304">
        <f t="shared" ref="D956:I956" si="993">D952*D953</f>
        <v>0</v>
      </c>
      <c r="E956" s="304">
        <f t="shared" si="993"/>
        <v>0</v>
      </c>
      <c r="F956" s="304">
        <f t="shared" si="993"/>
        <v>0</v>
      </c>
      <c r="G956" s="304">
        <f t="shared" si="993"/>
        <v>0</v>
      </c>
      <c r="H956" s="304">
        <f t="shared" si="993"/>
        <v>0</v>
      </c>
      <c r="I956" s="304">
        <f t="shared" si="993"/>
        <v>0</v>
      </c>
      <c r="J956" s="324"/>
    </row>
    <row r="957" spans="2:10" x14ac:dyDescent="0.2">
      <c r="B957" s="299" t="s">
        <v>320</v>
      </c>
      <c r="C957" s="306" t="s">
        <v>45</v>
      </c>
      <c r="D957" s="302">
        <f>+P293</f>
        <v>0</v>
      </c>
      <c r="E957" s="302">
        <f>+D957*(1+E958)*(1+E959)</f>
        <v>0</v>
      </c>
      <c r="F957" s="302">
        <f>+E957*(1+F958)*(1+F959)</f>
        <v>0</v>
      </c>
      <c r="G957" s="302">
        <f>+F957*(1+G958)*(1+G959)</f>
        <v>0</v>
      </c>
      <c r="H957" s="302">
        <f>+G957*(1+H958)*(1+H959)</f>
        <v>0</v>
      </c>
      <c r="I957" s="302">
        <f>+H957*(1+I958)*(1+I959)</f>
        <v>0</v>
      </c>
      <c r="J957" s="324"/>
    </row>
    <row r="958" spans="2:10" x14ac:dyDescent="0.2">
      <c r="B958" s="299" t="s">
        <v>318</v>
      </c>
      <c r="C958" s="306" t="s">
        <v>160</v>
      </c>
      <c r="D958" s="320"/>
      <c r="E958" s="321">
        <f>+$E$408</f>
        <v>3.3000000000000002E-2</v>
      </c>
      <c r="F958" s="321">
        <f>+$F$408</f>
        <v>3.5999999999999997E-2</v>
      </c>
      <c r="G958" s="321">
        <f>+$G$408</f>
        <v>4.2000000000000003E-2</v>
      </c>
      <c r="H958" s="321">
        <f>+$H$408</f>
        <v>4.8000000000000001E-2</v>
      </c>
      <c r="I958" s="321">
        <f>+$I$408</f>
        <v>5.3999999999999999E-2</v>
      </c>
      <c r="J958" s="324"/>
    </row>
    <row r="959" spans="2:10" x14ac:dyDescent="0.2">
      <c r="B959" s="299" t="s">
        <v>305</v>
      </c>
      <c r="C959" s="300"/>
      <c r="D959" s="320"/>
      <c r="E959" s="279">
        <v>0</v>
      </c>
      <c r="F959" s="279">
        <v>0</v>
      </c>
      <c r="G959" s="279">
        <v>0</v>
      </c>
      <c r="H959" s="279">
        <v>0</v>
      </c>
      <c r="I959" s="279">
        <v>0</v>
      </c>
      <c r="J959" s="324"/>
    </row>
    <row r="960" spans="2:10" ht="15" x14ac:dyDescent="0.25">
      <c r="B960" s="322" t="s">
        <v>317</v>
      </c>
      <c r="C960" s="306"/>
      <c r="D960" s="323">
        <f t="shared" ref="D960:I960" si="994">+D957*D952</f>
        <v>0</v>
      </c>
      <c r="E960" s="323">
        <f t="shared" si="994"/>
        <v>0</v>
      </c>
      <c r="F960" s="323">
        <f t="shared" si="994"/>
        <v>0</v>
      </c>
      <c r="G960" s="323">
        <f t="shared" si="994"/>
        <v>0</v>
      </c>
      <c r="H960" s="323">
        <f t="shared" si="994"/>
        <v>0</v>
      </c>
      <c r="I960" s="323">
        <f t="shared" si="994"/>
        <v>0</v>
      </c>
      <c r="J960" s="324"/>
    </row>
    <row r="961" spans="2:10" x14ac:dyDescent="0.2">
      <c r="B961" s="299" t="s">
        <v>321</v>
      </c>
      <c r="C961" s="306" t="s">
        <v>45</v>
      </c>
      <c r="D961" s="302">
        <f>+P295</f>
        <v>2134.08</v>
      </c>
      <c r="E961" s="302">
        <f>+D961*(1+E962)*(1+E963)</f>
        <v>2204.5046399999997</v>
      </c>
      <c r="F961" s="302">
        <f>+E961*(1+F962)*(1+F963)</f>
        <v>2283.8668070399999</v>
      </c>
      <c r="G961" s="302">
        <f>+F961*(1+G962)*(1+G963)</f>
        <v>2379.7892129356801</v>
      </c>
      <c r="H961" s="302">
        <f>+G961*(1+H962)*(1+H963)</f>
        <v>2494.0190951565928</v>
      </c>
      <c r="I961" s="302">
        <f>+H961*(1+I962)*(1+I963)</f>
        <v>2628.696126295049</v>
      </c>
    </row>
    <row r="962" spans="2:10" x14ac:dyDescent="0.2">
      <c r="B962" s="299" t="s">
        <v>318</v>
      </c>
      <c r="C962" s="306" t="s">
        <v>160</v>
      </c>
      <c r="D962" s="320"/>
      <c r="E962" s="321">
        <f>+$E$408</f>
        <v>3.3000000000000002E-2</v>
      </c>
      <c r="F962" s="321">
        <f>+$F$408</f>
        <v>3.5999999999999997E-2</v>
      </c>
      <c r="G962" s="321">
        <f>+$G$408</f>
        <v>4.2000000000000003E-2</v>
      </c>
      <c r="H962" s="321">
        <f>+$H$408</f>
        <v>4.8000000000000001E-2</v>
      </c>
      <c r="I962" s="321">
        <f>+$I$408</f>
        <v>5.3999999999999999E-2</v>
      </c>
    </row>
    <row r="963" spans="2:10" x14ac:dyDescent="0.2">
      <c r="B963" s="299" t="s">
        <v>305</v>
      </c>
      <c r="C963" s="300"/>
      <c r="D963" s="320"/>
      <c r="E963" s="279">
        <v>0</v>
      </c>
      <c r="F963" s="279">
        <v>0</v>
      </c>
      <c r="G963" s="279">
        <v>0</v>
      </c>
      <c r="H963" s="279">
        <v>0</v>
      </c>
      <c r="I963" s="279">
        <v>0</v>
      </c>
    </row>
    <row r="964" spans="2:10" ht="15" x14ac:dyDescent="0.25">
      <c r="B964" s="322" t="s">
        <v>317</v>
      </c>
      <c r="C964" s="306"/>
      <c r="D964" s="323">
        <f t="shared" ref="D964:I964" si="995">+D961*D952</f>
        <v>4511274.393600001</v>
      </c>
      <c r="E964" s="323">
        <f t="shared" si="995"/>
        <v>4845501.1987199988</v>
      </c>
      <c r="F964" s="323">
        <f t="shared" si="995"/>
        <v>5218635.6540863998</v>
      </c>
      <c r="G964" s="323">
        <f t="shared" si="995"/>
        <v>5654379.1699351761</v>
      </c>
      <c r="H964" s="323">
        <f t="shared" si="995"/>
        <v>6162721.1841319408</v>
      </c>
      <c r="I964" s="323">
        <f t="shared" si="995"/>
        <v>6753120.3484519813</v>
      </c>
    </row>
    <row r="965" spans="2:10" x14ac:dyDescent="0.2">
      <c r="B965" s="316" t="str">
        <f>+Ingresos!B332</f>
        <v>Naranja Tanjelo</v>
      </c>
      <c r="C965" s="317"/>
      <c r="D965" s="318"/>
      <c r="E965" s="318"/>
      <c r="F965" s="318"/>
      <c r="G965" s="318"/>
      <c r="H965" s="318"/>
      <c r="I965" s="318"/>
      <c r="J965" s="324"/>
    </row>
    <row r="966" spans="2:10" x14ac:dyDescent="0.2">
      <c r="B966" s="299" t="s">
        <v>159</v>
      </c>
      <c r="C966" s="319"/>
      <c r="D966" s="302">
        <f>+P342</f>
        <v>853.68</v>
      </c>
      <c r="E966" s="302">
        <f>+Ingresos!D710</f>
        <v>887</v>
      </c>
      <c r="F966" s="302">
        <f>+Ingresos!E710</f>
        <v>922</v>
      </c>
      <c r="G966" s="302">
        <f>+Ingresos!F710</f>
        <v>958</v>
      </c>
      <c r="H966" s="302">
        <f>+Ingresos!G710</f>
        <v>996</v>
      </c>
      <c r="I966" s="302">
        <f>+Ingresos!H710</f>
        <v>1035</v>
      </c>
      <c r="J966" s="324"/>
    </row>
    <row r="967" spans="2:10" x14ac:dyDescent="0.2">
      <c r="B967" s="299" t="s">
        <v>319</v>
      </c>
      <c r="C967" s="306" t="s">
        <v>45</v>
      </c>
      <c r="D967" s="302">
        <f>+P305</f>
        <v>238.43</v>
      </c>
      <c r="E967" s="302">
        <f>+D967*(1+E968)*(1+E969)</f>
        <v>246.29818999999998</v>
      </c>
      <c r="F967" s="302">
        <f>+E967*(1+F968)*(1+F969)</f>
        <v>255.16492484</v>
      </c>
      <c r="G967" s="302">
        <f>+F967*(1+G968)*(1+G969)</f>
        <v>265.88185168327999</v>
      </c>
      <c r="H967" s="302">
        <f>+G967*(1+H968)*(1+H969)</f>
        <v>278.64418056407743</v>
      </c>
      <c r="I967" s="302">
        <f>+H967*(1+I968)*(1+I969)</f>
        <v>293.6909663145376</v>
      </c>
      <c r="J967" s="324"/>
    </row>
    <row r="968" spans="2:10" x14ac:dyDescent="0.2">
      <c r="B968" s="299" t="s">
        <v>318</v>
      </c>
      <c r="C968" s="306" t="s">
        <v>160</v>
      </c>
      <c r="D968" s="320"/>
      <c r="E968" s="321">
        <f>+E954</f>
        <v>3.3000000000000002E-2</v>
      </c>
      <c r="F968" s="321">
        <f>F618</f>
        <v>3.5999999999999997E-2</v>
      </c>
      <c r="G968" s="321">
        <f>G618</f>
        <v>4.2000000000000003E-2</v>
      </c>
      <c r="H968" s="321">
        <f>H618</f>
        <v>4.8000000000000001E-2</v>
      </c>
      <c r="I968" s="321">
        <f>+$I$408</f>
        <v>5.3999999999999999E-2</v>
      </c>
      <c r="J968" s="324"/>
    </row>
    <row r="969" spans="2:10" x14ac:dyDescent="0.2">
      <c r="B969" s="299" t="s">
        <v>305</v>
      </c>
      <c r="C969" s="300"/>
      <c r="D969" s="320"/>
      <c r="E969" s="279">
        <v>0</v>
      </c>
      <c r="F969" s="279">
        <v>0</v>
      </c>
      <c r="G969" s="279">
        <v>0</v>
      </c>
      <c r="H969" s="279">
        <v>0</v>
      </c>
      <c r="I969" s="279">
        <v>0</v>
      </c>
      <c r="J969" s="324"/>
    </row>
    <row r="970" spans="2:10" ht="15" x14ac:dyDescent="0.25">
      <c r="B970" s="322" t="s">
        <v>317</v>
      </c>
      <c r="C970" s="306"/>
      <c r="D970" s="304">
        <f t="shared" ref="D970:I970" si="996">D966*D967</f>
        <v>203542.92239999998</v>
      </c>
      <c r="E970" s="304">
        <f t="shared" si="996"/>
        <v>218466.49452999997</v>
      </c>
      <c r="F970" s="304">
        <f t="shared" si="996"/>
        <v>235262.06070248</v>
      </c>
      <c r="G970" s="304">
        <f t="shared" si="996"/>
        <v>254714.81391258223</v>
      </c>
      <c r="H970" s="304">
        <f t="shared" si="996"/>
        <v>277529.60384182114</v>
      </c>
      <c r="I970" s="304">
        <f t="shared" si="996"/>
        <v>303970.1501355464</v>
      </c>
      <c r="J970" s="324"/>
    </row>
    <row r="971" spans="2:10" x14ac:dyDescent="0.2">
      <c r="B971" s="299" t="s">
        <v>320</v>
      </c>
      <c r="C971" s="306" t="s">
        <v>45</v>
      </c>
      <c r="D971" s="302">
        <f>+P307</f>
        <v>0</v>
      </c>
      <c r="E971" s="302">
        <f>+D971*(1+E972)*(1+E973)</f>
        <v>0</v>
      </c>
      <c r="F971" s="302">
        <f>+E971*(1+F972)*(1+F973)</f>
        <v>0</v>
      </c>
      <c r="G971" s="302">
        <f>+F971*(1+G972)*(1+G973)</f>
        <v>0</v>
      </c>
      <c r="H971" s="302">
        <f>+G971*(1+H972)*(1+H973)</f>
        <v>0</v>
      </c>
      <c r="I971" s="302">
        <f>+H971*(1+I972)*(1+I973)</f>
        <v>0</v>
      </c>
      <c r="J971" s="324"/>
    </row>
    <row r="972" spans="2:10" x14ac:dyDescent="0.2">
      <c r="B972" s="299" t="s">
        <v>318</v>
      </c>
      <c r="C972" s="306" t="s">
        <v>160</v>
      </c>
      <c r="D972" s="320"/>
      <c r="E972" s="321">
        <f>+$E$408</f>
        <v>3.3000000000000002E-2</v>
      </c>
      <c r="F972" s="321">
        <f>+$F$408</f>
        <v>3.5999999999999997E-2</v>
      </c>
      <c r="G972" s="321">
        <f>+$G$408</f>
        <v>4.2000000000000003E-2</v>
      </c>
      <c r="H972" s="321">
        <f>+$H$408</f>
        <v>4.8000000000000001E-2</v>
      </c>
      <c r="I972" s="321">
        <f>+$I$408</f>
        <v>5.3999999999999999E-2</v>
      </c>
      <c r="J972" s="324"/>
    </row>
    <row r="973" spans="2:10" x14ac:dyDescent="0.2">
      <c r="B973" s="299" t="s">
        <v>305</v>
      </c>
      <c r="C973" s="300"/>
      <c r="D973" s="320"/>
      <c r="E973" s="279">
        <v>0</v>
      </c>
      <c r="F973" s="279">
        <v>0</v>
      </c>
      <c r="G973" s="279">
        <v>0</v>
      </c>
      <c r="H973" s="279">
        <v>0</v>
      </c>
      <c r="I973" s="279">
        <v>0</v>
      </c>
      <c r="J973" s="324"/>
    </row>
    <row r="974" spans="2:10" ht="15" x14ac:dyDescent="0.25">
      <c r="B974" s="322" t="s">
        <v>317</v>
      </c>
      <c r="C974" s="306"/>
      <c r="D974" s="323">
        <f t="shared" ref="D974:I974" si="997">+D971*D966</f>
        <v>0</v>
      </c>
      <c r="E974" s="323">
        <f t="shared" si="997"/>
        <v>0</v>
      </c>
      <c r="F974" s="323">
        <f t="shared" si="997"/>
        <v>0</v>
      </c>
      <c r="G974" s="323">
        <f t="shared" si="997"/>
        <v>0</v>
      </c>
      <c r="H974" s="323">
        <f t="shared" si="997"/>
        <v>0</v>
      </c>
      <c r="I974" s="323">
        <f t="shared" si="997"/>
        <v>0</v>
      </c>
      <c r="J974" s="324"/>
    </row>
    <row r="975" spans="2:10" x14ac:dyDescent="0.2">
      <c r="B975" s="299" t="s">
        <v>321</v>
      </c>
      <c r="C975" s="306" t="s">
        <v>45</v>
      </c>
      <c r="D975" s="302">
        <f>+P309</f>
        <v>0</v>
      </c>
      <c r="E975" s="302">
        <f>+D975*(1+E976)*(1+E977)</f>
        <v>0</v>
      </c>
      <c r="F975" s="302">
        <f>+E975*(1+F976)*(1+F977)</f>
        <v>0</v>
      </c>
      <c r="G975" s="302">
        <f>+F975*(1+G976)*(1+G977)</f>
        <v>0</v>
      </c>
      <c r="H975" s="302">
        <f>+G975*(1+H976)*(1+H977)</f>
        <v>0</v>
      </c>
      <c r="I975" s="302">
        <f>+H975*(1+I976)*(1+I977)</f>
        <v>0</v>
      </c>
    </row>
    <row r="976" spans="2:10" x14ac:dyDescent="0.2">
      <c r="B976" s="299" t="s">
        <v>318</v>
      </c>
      <c r="C976" s="306" t="s">
        <v>160</v>
      </c>
      <c r="D976" s="320"/>
      <c r="E976" s="321">
        <f>+$E$408</f>
        <v>3.3000000000000002E-2</v>
      </c>
      <c r="F976" s="321">
        <f>+$F$408</f>
        <v>3.5999999999999997E-2</v>
      </c>
      <c r="G976" s="321">
        <f>+$G$408</f>
        <v>4.2000000000000003E-2</v>
      </c>
      <c r="H976" s="321">
        <f>+$H$408</f>
        <v>4.8000000000000001E-2</v>
      </c>
      <c r="I976" s="321">
        <f>+$I$408</f>
        <v>5.3999999999999999E-2</v>
      </c>
    </row>
    <row r="977" spans="2:10" x14ac:dyDescent="0.2">
      <c r="B977" s="299" t="s">
        <v>305</v>
      </c>
      <c r="C977" s="300"/>
      <c r="D977" s="320"/>
      <c r="E977" s="279">
        <v>0</v>
      </c>
      <c r="F977" s="279">
        <v>0</v>
      </c>
      <c r="G977" s="279">
        <v>0</v>
      </c>
      <c r="H977" s="279">
        <v>0</v>
      </c>
      <c r="I977" s="279">
        <v>0</v>
      </c>
    </row>
    <row r="978" spans="2:10" ht="15" x14ac:dyDescent="0.25">
      <c r="B978" s="322" t="s">
        <v>317</v>
      </c>
      <c r="C978" s="306"/>
      <c r="D978" s="323">
        <f t="shared" ref="D978:I978" si="998">+D975*D966</f>
        <v>0</v>
      </c>
      <c r="E978" s="323">
        <f t="shared" si="998"/>
        <v>0</v>
      </c>
      <c r="F978" s="323">
        <f t="shared" si="998"/>
        <v>0</v>
      </c>
      <c r="G978" s="323">
        <f t="shared" si="998"/>
        <v>0</v>
      </c>
      <c r="H978" s="323">
        <f t="shared" si="998"/>
        <v>0</v>
      </c>
      <c r="I978" s="323">
        <f t="shared" si="998"/>
        <v>0</v>
      </c>
    </row>
    <row r="979" spans="2:10" x14ac:dyDescent="0.2">
      <c r="B979" s="316" t="str">
        <f>+Ingresos!B340</f>
        <v>Papaya Hawaiana</v>
      </c>
      <c r="C979" s="317"/>
      <c r="D979" s="318"/>
      <c r="E979" s="318"/>
      <c r="F979" s="318"/>
      <c r="G979" s="318"/>
      <c r="H979" s="318"/>
      <c r="I979" s="318"/>
      <c r="J979" s="324"/>
    </row>
    <row r="980" spans="2:10" x14ac:dyDescent="0.2">
      <c r="B980" s="299" t="s">
        <v>159</v>
      </c>
      <c r="C980" s="319"/>
      <c r="D980" s="302">
        <f>+P350</f>
        <v>1341.5999999999997</v>
      </c>
      <c r="E980" s="302">
        <f>+Ingresos!D718</f>
        <v>1395</v>
      </c>
      <c r="F980" s="302">
        <f>+Ingresos!E718</f>
        <v>1450</v>
      </c>
      <c r="G980" s="302">
        <f>+Ingresos!F718</f>
        <v>1508</v>
      </c>
      <c r="H980" s="302">
        <f>+Ingresos!G718</f>
        <v>1568</v>
      </c>
      <c r="I980" s="302">
        <f>+Ingresos!H718</f>
        <v>1630</v>
      </c>
      <c r="J980" s="324"/>
    </row>
    <row r="981" spans="2:10" x14ac:dyDescent="0.2">
      <c r="B981" s="299" t="s">
        <v>319</v>
      </c>
      <c r="C981" s="306" t="s">
        <v>45</v>
      </c>
      <c r="D981" s="302">
        <f>+P319</f>
        <v>1778.6210000000001</v>
      </c>
      <c r="E981" s="302">
        <f>+D981*(1+E982)*(1+E983)</f>
        <v>1837.3154930000001</v>
      </c>
      <c r="F981" s="302">
        <f>+E981*(1+F982)*(1+F983)</f>
        <v>1903.458850748</v>
      </c>
      <c r="G981" s="302">
        <f>+F981*(1+G982)*(1+G983)</f>
        <v>1983.4041224794162</v>
      </c>
      <c r="H981" s="302">
        <f>+G981*(1+H982)*(1+H983)</f>
        <v>2078.6075203584282</v>
      </c>
      <c r="I981" s="302">
        <f>+H981*(1+I982)*(1+I983)</f>
        <v>2190.8523264577834</v>
      </c>
      <c r="J981" s="324"/>
    </row>
    <row r="982" spans="2:10" x14ac:dyDescent="0.2">
      <c r="B982" s="299" t="s">
        <v>318</v>
      </c>
      <c r="C982" s="306" t="s">
        <v>160</v>
      </c>
      <c r="D982" s="320"/>
      <c r="E982" s="321">
        <f>+E968</f>
        <v>3.3000000000000002E-2</v>
      </c>
      <c r="F982" s="321">
        <f>F632</f>
        <v>3.5999999999999997E-2</v>
      </c>
      <c r="G982" s="321">
        <f>G632</f>
        <v>4.2000000000000003E-2</v>
      </c>
      <c r="H982" s="321">
        <f>H632</f>
        <v>4.8000000000000001E-2</v>
      </c>
      <c r="I982" s="321">
        <f>+$I$408</f>
        <v>5.3999999999999999E-2</v>
      </c>
      <c r="J982" s="324"/>
    </row>
    <row r="983" spans="2:10" x14ac:dyDescent="0.2">
      <c r="B983" s="299" t="s">
        <v>305</v>
      </c>
      <c r="C983" s="300"/>
      <c r="D983" s="320"/>
      <c r="E983" s="279">
        <v>0</v>
      </c>
      <c r="F983" s="279">
        <v>0</v>
      </c>
      <c r="G983" s="279">
        <v>0</v>
      </c>
      <c r="H983" s="279">
        <v>0</v>
      </c>
      <c r="I983" s="279">
        <v>0</v>
      </c>
      <c r="J983" s="324"/>
    </row>
    <row r="984" spans="2:10" ht="15" x14ac:dyDescent="0.25">
      <c r="B984" s="322" t="s">
        <v>317</v>
      </c>
      <c r="C984" s="306"/>
      <c r="D984" s="304">
        <f t="shared" ref="D984:I984" si="999">D980*D981</f>
        <v>2386197.9335999996</v>
      </c>
      <c r="E984" s="304">
        <f t="shared" si="999"/>
        <v>2563055.112735</v>
      </c>
      <c r="F984" s="304">
        <f t="shared" si="999"/>
        <v>2760015.3335846001</v>
      </c>
      <c r="G984" s="304">
        <f t="shared" si="999"/>
        <v>2990973.4166989597</v>
      </c>
      <c r="H984" s="304">
        <f t="shared" si="999"/>
        <v>3259256.5919220154</v>
      </c>
      <c r="I984" s="304">
        <f t="shared" si="999"/>
        <v>3571089.2921261871</v>
      </c>
      <c r="J984" s="324"/>
    </row>
    <row r="985" spans="2:10" x14ac:dyDescent="0.2">
      <c r="B985" s="299" t="s">
        <v>320</v>
      </c>
      <c r="C985" s="306" t="s">
        <v>45</v>
      </c>
      <c r="D985" s="302">
        <f>+P321</f>
        <v>223</v>
      </c>
      <c r="E985" s="302">
        <f>+D985*(1+E986)*(1+E987)</f>
        <v>230.35899999999998</v>
      </c>
      <c r="F985" s="302">
        <f>+E985*(1+F986)*(1+F987)</f>
        <v>238.65192399999998</v>
      </c>
      <c r="G985" s="302">
        <f>+F985*(1+G986)*(1+G987)</f>
        <v>248.67530480799999</v>
      </c>
      <c r="H985" s="302">
        <f>+G985*(1+H986)*(1+H987)</f>
        <v>260.61171943878401</v>
      </c>
      <c r="I985" s="302">
        <f>+H985*(1+I986)*(1+I987)</f>
        <v>274.68475228847836</v>
      </c>
      <c r="J985" s="324"/>
    </row>
    <row r="986" spans="2:10" x14ac:dyDescent="0.2">
      <c r="B986" s="299" t="s">
        <v>318</v>
      </c>
      <c r="C986" s="306" t="s">
        <v>160</v>
      </c>
      <c r="D986" s="320"/>
      <c r="E986" s="321">
        <f>+$E$408</f>
        <v>3.3000000000000002E-2</v>
      </c>
      <c r="F986" s="321">
        <f>+$F$408</f>
        <v>3.5999999999999997E-2</v>
      </c>
      <c r="G986" s="321">
        <f>+$G$408</f>
        <v>4.2000000000000003E-2</v>
      </c>
      <c r="H986" s="321">
        <f>+$H$408</f>
        <v>4.8000000000000001E-2</v>
      </c>
      <c r="I986" s="321">
        <f>+$I$408</f>
        <v>5.3999999999999999E-2</v>
      </c>
      <c r="J986" s="324"/>
    </row>
    <row r="987" spans="2:10" x14ac:dyDescent="0.2">
      <c r="B987" s="299" t="s">
        <v>305</v>
      </c>
      <c r="C987" s="300"/>
      <c r="D987" s="320"/>
      <c r="E987" s="279">
        <v>0</v>
      </c>
      <c r="F987" s="279">
        <v>0</v>
      </c>
      <c r="G987" s="279">
        <v>0</v>
      </c>
      <c r="H987" s="279">
        <v>0</v>
      </c>
      <c r="I987" s="279">
        <v>0</v>
      </c>
      <c r="J987" s="324"/>
    </row>
    <row r="988" spans="2:10" ht="15" x14ac:dyDescent="0.25">
      <c r="B988" s="322" t="s">
        <v>317</v>
      </c>
      <c r="C988" s="306"/>
      <c r="D988" s="323">
        <f t="shared" ref="D988:I988" si="1000">+D985*D980</f>
        <v>299176.79999999993</v>
      </c>
      <c r="E988" s="323">
        <f t="shared" si="1000"/>
        <v>321350.80499999999</v>
      </c>
      <c r="F988" s="323">
        <f t="shared" si="1000"/>
        <v>346045.28979999997</v>
      </c>
      <c r="G988" s="323">
        <f t="shared" si="1000"/>
        <v>375002.35965046397</v>
      </c>
      <c r="H988" s="323">
        <f t="shared" si="1000"/>
        <v>408639.17608001333</v>
      </c>
      <c r="I988" s="323">
        <f t="shared" si="1000"/>
        <v>447736.14623021975</v>
      </c>
      <c r="J988" s="324"/>
    </row>
    <row r="989" spans="2:10" x14ac:dyDescent="0.2">
      <c r="B989" s="299" t="s">
        <v>321</v>
      </c>
      <c r="C989" s="306" t="s">
        <v>45</v>
      </c>
      <c r="D989" s="302">
        <f>+P323</f>
        <v>0</v>
      </c>
      <c r="E989" s="302">
        <f>+D989*(1+E990)*(1+E991)</f>
        <v>0</v>
      </c>
      <c r="F989" s="302">
        <f>+E989*(1+F990)*(1+F991)</f>
        <v>0</v>
      </c>
      <c r="G989" s="302">
        <f>+F989*(1+G990)*(1+G991)</f>
        <v>0</v>
      </c>
      <c r="H989" s="302">
        <f>+G989*(1+H990)*(1+H991)</f>
        <v>0</v>
      </c>
      <c r="I989" s="302">
        <f>+H989*(1+I990)*(1+I991)</f>
        <v>0</v>
      </c>
    </row>
    <row r="990" spans="2:10" x14ac:dyDescent="0.2">
      <c r="B990" s="299" t="s">
        <v>318</v>
      </c>
      <c r="C990" s="306" t="s">
        <v>160</v>
      </c>
      <c r="D990" s="320"/>
      <c r="E990" s="321">
        <f>+$E$408</f>
        <v>3.3000000000000002E-2</v>
      </c>
      <c r="F990" s="321">
        <f>+$F$408</f>
        <v>3.5999999999999997E-2</v>
      </c>
      <c r="G990" s="321">
        <f>+$G$408</f>
        <v>4.2000000000000003E-2</v>
      </c>
      <c r="H990" s="321">
        <f>+$H$408</f>
        <v>4.8000000000000001E-2</v>
      </c>
      <c r="I990" s="321">
        <f>+$I$408</f>
        <v>5.3999999999999999E-2</v>
      </c>
    </row>
    <row r="991" spans="2:10" x14ac:dyDescent="0.2">
      <c r="B991" s="299" t="s">
        <v>305</v>
      </c>
      <c r="C991" s="300"/>
      <c r="D991" s="320"/>
      <c r="E991" s="279">
        <v>0</v>
      </c>
      <c r="F991" s="279">
        <v>0</v>
      </c>
      <c r="G991" s="279">
        <v>0</v>
      </c>
      <c r="H991" s="279">
        <v>0</v>
      </c>
      <c r="I991" s="279">
        <v>0</v>
      </c>
    </row>
    <row r="992" spans="2:10" ht="15" x14ac:dyDescent="0.25">
      <c r="B992" s="322" t="s">
        <v>317</v>
      </c>
      <c r="C992" s="306"/>
      <c r="D992" s="323">
        <f t="shared" ref="D992:I992" si="1001">+D989*D980</f>
        <v>0</v>
      </c>
      <c r="E992" s="323">
        <f t="shared" si="1001"/>
        <v>0</v>
      </c>
      <c r="F992" s="323">
        <f t="shared" si="1001"/>
        <v>0</v>
      </c>
      <c r="G992" s="323">
        <f t="shared" si="1001"/>
        <v>0</v>
      </c>
      <c r="H992" s="323">
        <f t="shared" si="1001"/>
        <v>0</v>
      </c>
      <c r="I992" s="323">
        <f t="shared" si="1001"/>
        <v>0</v>
      </c>
    </row>
    <row r="993" spans="2:10" x14ac:dyDescent="0.2">
      <c r="B993" s="316" t="str">
        <f>+Ingresos!B348</f>
        <v>Piña Oro Miel</v>
      </c>
      <c r="C993" s="317"/>
      <c r="D993" s="318"/>
      <c r="E993" s="318"/>
      <c r="F993" s="318"/>
      <c r="G993" s="318"/>
      <c r="H993" s="318"/>
      <c r="I993" s="318"/>
      <c r="J993" s="324"/>
    </row>
    <row r="994" spans="2:10" x14ac:dyDescent="0.2">
      <c r="B994" s="299" t="s">
        <v>159</v>
      </c>
      <c r="C994" s="319"/>
      <c r="D994" s="302">
        <f>+P358</f>
        <v>3949.1999999999994</v>
      </c>
      <c r="E994" s="302">
        <f>+Ingresos!D726</f>
        <v>4107</v>
      </c>
      <c r="F994" s="302">
        <f>+Ingresos!E726</f>
        <v>4271</v>
      </c>
      <c r="G994" s="302">
        <f>+Ingresos!F726</f>
        <v>4441</v>
      </c>
      <c r="H994" s="302">
        <f>+Ingresos!G726</f>
        <v>4618</v>
      </c>
      <c r="I994" s="302">
        <f>+Ingresos!H726</f>
        <v>4802</v>
      </c>
      <c r="J994" s="324"/>
    </row>
    <row r="995" spans="2:10" x14ac:dyDescent="0.2">
      <c r="B995" s="299" t="s">
        <v>319</v>
      </c>
      <c r="C995" s="306" t="s">
        <v>45</v>
      </c>
      <c r="D995" s="302">
        <f>+P333</f>
        <v>0</v>
      </c>
      <c r="E995" s="302">
        <f>+D995*(1+E996)*(1+E997)</f>
        <v>0</v>
      </c>
      <c r="F995" s="302">
        <f>+E995*(1+F996)*(1+F997)</f>
        <v>0</v>
      </c>
      <c r="G995" s="302">
        <f>+F995*(1+G996)*(1+G997)</f>
        <v>0</v>
      </c>
      <c r="H995" s="302">
        <f>+G995*(1+H996)*(1+H997)</f>
        <v>0</v>
      </c>
      <c r="I995" s="302">
        <f>+H995*(1+I996)*(1+I997)</f>
        <v>0</v>
      </c>
      <c r="J995" s="324"/>
    </row>
    <row r="996" spans="2:10" x14ac:dyDescent="0.2">
      <c r="B996" s="299" t="s">
        <v>318</v>
      </c>
      <c r="C996" s="306" t="s">
        <v>160</v>
      </c>
      <c r="D996" s="320"/>
      <c r="E996" s="321">
        <f>+E982</f>
        <v>3.3000000000000002E-2</v>
      </c>
      <c r="F996" s="321">
        <f>F646</f>
        <v>3.5999999999999997E-2</v>
      </c>
      <c r="G996" s="321">
        <f>G646</f>
        <v>4.2000000000000003E-2</v>
      </c>
      <c r="H996" s="321">
        <f>H646</f>
        <v>4.8000000000000001E-2</v>
      </c>
      <c r="I996" s="321">
        <f>+$I$408</f>
        <v>5.3999999999999999E-2</v>
      </c>
      <c r="J996" s="324"/>
    </row>
    <row r="997" spans="2:10" x14ac:dyDescent="0.2">
      <c r="B997" s="299" t="s">
        <v>305</v>
      </c>
      <c r="C997" s="300"/>
      <c r="D997" s="320"/>
      <c r="E997" s="279">
        <v>0</v>
      </c>
      <c r="F997" s="279">
        <v>0</v>
      </c>
      <c r="G997" s="279">
        <v>0</v>
      </c>
      <c r="H997" s="279">
        <v>0</v>
      </c>
      <c r="I997" s="279">
        <v>0</v>
      </c>
      <c r="J997" s="324"/>
    </row>
    <row r="998" spans="2:10" ht="15" x14ac:dyDescent="0.25">
      <c r="B998" s="322" t="s">
        <v>317</v>
      </c>
      <c r="C998" s="306"/>
      <c r="D998" s="304">
        <f t="shared" ref="D998:I998" si="1002">D994*D995</f>
        <v>0</v>
      </c>
      <c r="E998" s="304">
        <f t="shared" si="1002"/>
        <v>0</v>
      </c>
      <c r="F998" s="304">
        <f t="shared" si="1002"/>
        <v>0</v>
      </c>
      <c r="G998" s="304">
        <f t="shared" si="1002"/>
        <v>0</v>
      </c>
      <c r="H998" s="304">
        <f t="shared" si="1002"/>
        <v>0</v>
      </c>
      <c r="I998" s="304">
        <f t="shared" si="1002"/>
        <v>0</v>
      </c>
      <c r="J998" s="324"/>
    </row>
    <row r="999" spans="2:10" x14ac:dyDescent="0.2">
      <c r="B999" s="299" t="s">
        <v>320</v>
      </c>
      <c r="C999" s="306" t="s">
        <v>45</v>
      </c>
      <c r="D999" s="302">
        <f>+P335</f>
        <v>1445.171</v>
      </c>
      <c r="E999" s="302">
        <f>+D999*(1+E1000)*(1+E1001)</f>
        <v>1492.861643</v>
      </c>
      <c r="F999" s="302">
        <f>+E999*(1+F1000)*(1+F1001)</f>
        <v>1546.604662148</v>
      </c>
      <c r="G999" s="302">
        <f>+F999*(1+G1000)*(1+G1001)</f>
        <v>1611.562057958216</v>
      </c>
      <c r="H999" s="302">
        <f>+G999*(1+H1000)*(1+H1001)</f>
        <v>1688.9170367402105</v>
      </c>
      <c r="I999" s="302">
        <f>+H999*(1+I1000)*(1+I1001)</f>
        <v>1780.1185567241819</v>
      </c>
      <c r="J999" s="324"/>
    </row>
    <row r="1000" spans="2:10" x14ac:dyDescent="0.2">
      <c r="B1000" s="299" t="s">
        <v>318</v>
      </c>
      <c r="C1000" s="306" t="s">
        <v>160</v>
      </c>
      <c r="D1000" s="320"/>
      <c r="E1000" s="321">
        <f>+$E$408</f>
        <v>3.3000000000000002E-2</v>
      </c>
      <c r="F1000" s="321">
        <f>+$F$408</f>
        <v>3.5999999999999997E-2</v>
      </c>
      <c r="G1000" s="321">
        <f>+$G$408</f>
        <v>4.2000000000000003E-2</v>
      </c>
      <c r="H1000" s="321">
        <f>+$H$408</f>
        <v>4.8000000000000001E-2</v>
      </c>
      <c r="I1000" s="321">
        <f>+$I$408</f>
        <v>5.3999999999999999E-2</v>
      </c>
      <c r="J1000" s="324"/>
    </row>
    <row r="1001" spans="2:10" x14ac:dyDescent="0.2">
      <c r="B1001" s="299" t="s">
        <v>305</v>
      </c>
      <c r="C1001" s="300"/>
      <c r="D1001" s="320"/>
      <c r="E1001" s="279">
        <v>0</v>
      </c>
      <c r="F1001" s="279">
        <v>0</v>
      </c>
      <c r="G1001" s="279">
        <v>0</v>
      </c>
      <c r="H1001" s="279">
        <v>0</v>
      </c>
      <c r="I1001" s="279">
        <v>0</v>
      </c>
      <c r="J1001" s="324"/>
    </row>
    <row r="1002" spans="2:10" ht="15" x14ac:dyDescent="0.25">
      <c r="B1002" s="322" t="s">
        <v>317</v>
      </c>
      <c r="C1002" s="306"/>
      <c r="D1002" s="323">
        <f t="shared" ref="D1002:I1002" si="1003">+D999*D994</f>
        <v>5707269.3131999988</v>
      </c>
      <c r="E1002" s="323">
        <f t="shared" si="1003"/>
        <v>6131182.7678009998</v>
      </c>
      <c r="F1002" s="323">
        <f t="shared" si="1003"/>
        <v>6605548.5120341079</v>
      </c>
      <c r="G1002" s="323">
        <f t="shared" si="1003"/>
        <v>7156947.0993924374</v>
      </c>
      <c r="H1002" s="323">
        <f t="shared" si="1003"/>
        <v>7799418.8756662924</v>
      </c>
      <c r="I1002" s="323">
        <f t="shared" si="1003"/>
        <v>8548129.3093895204</v>
      </c>
      <c r="J1002" s="324"/>
    </row>
    <row r="1003" spans="2:10" x14ac:dyDescent="0.2">
      <c r="B1003" s="299" t="s">
        <v>321</v>
      </c>
      <c r="C1003" s="306" t="s">
        <v>45</v>
      </c>
      <c r="D1003" s="302">
        <f>+P337</f>
        <v>166.21</v>
      </c>
      <c r="E1003" s="302">
        <f>+D1003*(1+E1004)*(1+E1005)</f>
        <v>171.69493</v>
      </c>
      <c r="F1003" s="302">
        <f>+E1003*(1+F1004)*(1+F1005)</f>
        <v>177.87594748000001</v>
      </c>
      <c r="G1003" s="302">
        <f>+F1003*(1+G1004)*(1+G1005)</f>
        <v>185.34673727416001</v>
      </c>
      <c r="H1003" s="302">
        <f>+G1003*(1+H1004)*(1+H1005)</f>
        <v>194.2433806633197</v>
      </c>
      <c r="I1003" s="302">
        <f>+H1003*(1+I1004)*(1+I1005)</f>
        <v>204.73252321913898</v>
      </c>
    </row>
    <row r="1004" spans="2:10" x14ac:dyDescent="0.2">
      <c r="B1004" s="299" t="s">
        <v>318</v>
      </c>
      <c r="C1004" s="306" t="s">
        <v>160</v>
      </c>
      <c r="D1004" s="320"/>
      <c r="E1004" s="321">
        <f>+$E$408</f>
        <v>3.3000000000000002E-2</v>
      </c>
      <c r="F1004" s="321">
        <f>+$F$408</f>
        <v>3.5999999999999997E-2</v>
      </c>
      <c r="G1004" s="321">
        <f>+$G$408</f>
        <v>4.2000000000000003E-2</v>
      </c>
      <c r="H1004" s="321">
        <f>+$H$408</f>
        <v>4.8000000000000001E-2</v>
      </c>
      <c r="I1004" s="321">
        <f>+$I$408</f>
        <v>5.3999999999999999E-2</v>
      </c>
    </row>
    <row r="1005" spans="2:10" x14ac:dyDescent="0.2">
      <c r="B1005" s="299" t="s">
        <v>305</v>
      </c>
      <c r="C1005" s="300"/>
      <c r="D1005" s="320"/>
      <c r="E1005" s="279">
        <v>0</v>
      </c>
      <c r="F1005" s="279">
        <v>0</v>
      </c>
      <c r="G1005" s="279">
        <v>0</v>
      </c>
      <c r="H1005" s="279">
        <v>0</v>
      </c>
      <c r="I1005" s="279">
        <v>0</v>
      </c>
    </row>
    <row r="1006" spans="2:10" ht="15" x14ac:dyDescent="0.25">
      <c r="B1006" s="322" t="s">
        <v>317</v>
      </c>
      <c r="C1006" s="306"/>
      <c r="D1006" s="323">
        <f t="shared" ref="D1006:I1006" si="1004">+D1003*D994</f>
        <v>656396.53199999989</v>
      </c>
      <c r="E1006" s="323">
        <f t="shared" si="1004"/>
        <v>705151.07750999997</v>
      </c>
      <c r="F1006" s="323">
        <f t="shared" si="1004"/>
        <v>759708.17168708006</v>
      </c>
      <c r="G1006" s="323">
        <f t="shared" si="1004"/>
        <v>823124.86023454461</v>
      </c>
      <c r="H1006" s="323">
        <f t="shared" si="1004"/>
        <v>897015.93190321035</v>
      </c>
      <c r="I1006" s="323">
        <f t="shared" si="1004"/>
        <v>983125.57649830543</v>
      </c>
    </row>
    <row r="1007" spans="2:10" x14ac:dyDescent="0.2">
      <c r="B1007" s="316" t="str">
        <f>+Ingresos!B356</f>
        <v>Pitahaya</v>
      </c>
      <c r="C1007" s="317"/>
      <c r="D1007" s="318"/>
      <c r="E1007" s="318"/>
      <c r="F1007" s="318"/>
      <c r="G1007" s="318"/>
      <c r="H1007" s="318"/>
      <c r="I1007" s="318"/>
      <c r="J1007" s="324"/>
    </row>
    <row r="1008" spans="2:10" x14ac:dyDescent="0.2">
      <c r="B1008" s="299" t="s">
        <v>159</v>
      </c>
      <c r="C1008" s="319"/>
      <c r="D1008" s="302">
        <f>+P366</f>
        <v>3949.1999999999994</v>
      </c>
      <c r="E1008" s="302">
        <f>+Ingresos!D734</f>
        <v>380</v>
      </c>
      <c r="F1008" s="302">
        <f>+Ingresos!E734</f>
        <v>395</v>
      </c>
      <c r="G1008" s="302">
        <f>+Ingresos!F734</f>
        <v>410</v>
      </c>
      <c r="H1008" s="302">
        <f>+Ingresos!G734</f>
        <v>426</v>
      </c>
      <c r="I1008" s="302">
        <f>+Ingresos!H734</f>
        <v>443</v>
      </c>
      <c r="J1008" s="324"/>
    </row>
    <row r="1009" spans="2:10" x14ac:dyDescent="0.2">
      <c r="B1009" s="299" t="s">
        <v>319</v>
      </c>
      <c r="C1009" s="306" t="s">
        <v>45</v>
      </c>
      <c r="D1009" s="302">
        <f>+P347</f>
        <v>0</v>
      </c>
      <c r="E1009" s="302">
        <f>+D1009*(1+E1010)*(1+E1011)</f>
        <v>0</v>
      </c>
      <c r="F1009" s="302">
        <f>+E1009*(1+F1010)*(1+F1011)</f>
        <v>0</v>
      </c>
      <c r="G1009" s="302">
        <f>+F1009*(1+G1010)*(1+G1011)</f>
        <v>0</v>
      </c>
      <c r="H1009" s="302">
        <f>+G1009*(1+H1010)*(1+H1011)</f>
        <v>0</v>
      </c>
      <c r="I1009" s="302">
        <f>+H1009*(1+I1010)*(1+I1011)</f>
        <v>0</v>
      </c>
      <c r="J1009" s="324"/>
    </row>
    <row r="1010" spans="2:10" x14ac:dyDescent="0.2">
      <c r="B1010" s="299" t="s">
        <v>318</v>
      </c>
      <c r="C1010" s="306" t="s">
        <v>160</v>
      </c>
      <c r="D1010" s="320"/>
      <c r="E1010" s="321">
        <f>+E996</f>
        <v>3.3000000000000002E-2</v>
      </c>
      <c r="F1010" s="321">
        <f>F660</f>
        <v>3.5999999999999997E-2</v>
      </c>
      <c r="G1010" s="321">
        <f>G660</f>
        <v>4.2000000000000003E-2</v>
      </c>
      <c r="H1010" s="321">
        <f>H660</f>
        <v>4.8000000000000001E-2</v>
      </c>
      <c r="I1010" s="321">
        <f>+$I$408</f>
        <v>5.3999999999999999E-2</v>
      </c>
      <c r="J1010" s="324"/>
    </row>
    <row r="1011" spans="2:10" x14ac:dyDescent="0.2">
      <c r="B1011" s="299" t="s">
        <v>305</v>
      </c>
      <c r="C1011" s="300"/>
      <c r="D1011" s="320"/>
      <c r="E1011" s="279">
        <v>0</v>
      </c>
      <c r="F1011" s="279">
        <v>0</v>
      </c>
      <c r="G1011" s="279">
        <v>0</v>
      </c>
      <c r="H1011" s="279">
        <v>0</v>
      </c>
      <c r="I1011" s="279">
        <v>0</v>
      </c>
      <c r="J1011" s="324"/>
    </row>
    <row r="1012" spans="2:10" ht="15" x14ac:dyDescent="0.25">
      <c r="B1012" s="322" t="s">
        <v>317</v>
      </c>
      <c r="C1012" s="306"/>
      <c r="D1012" s="304">
        <f t="shared" ref="D1012:I1012" si="1005">D1008*D1009</f>
        <v>0</v>
      </c>
      <c r="E1012" s="304">
        <f t="shared" si="1005"/>
        <v>0</v>
      </c>
      <c r="F1012" s="304">
        <f t="shared" si="1005"/>
        <v>0</v>
      </c>
      <c r="G1012" s="304">
        <f t="shared" si="1005"/>
        <v>0</v>
      </c>
      <c r="H1012" s="304">
        <f t="shared" si="1005"/>
        <v>0</v>
      </c>
      <c r="I1012" s="304">
        <f t="shared" si="1005"/>
        <v>0</v>
      </c>
      <c r="J1012" s="324"/>
    </row>
    <row r="1013" spans="2:10" x14ac:dyDescent="0.2">
      <c r="B1013" s="299" t="s">
        <v>320</v>
      </c>
      <c r="C1013" s="306" t="s">
        <v>45</v>
      </c>
      <c r="D1013" s="302">
        <f>+P349</f>
        <v>0</v>
      </c>
      <c r="E1013" s="302">
        <f>+D1013*(1+E1014)*(1+E1015)</f>
        <v>0</v>
      </c>
      <c r="F1013" s="302">
        <f>+E1013*(1+F1014)*(1+F1015)</f>
        <v>0</v>
      </c>
      <c r="G1013" s="302">
        <f>+F1013*(1+G1014)*(1+G1015)</f>
        <v>0</v>
      </c>
      <c r="H1013" s="302">
        <f>+G1013*(1+H1014)*(1+H1015)</f>
        <v>0</v>
      </c>
      <c r="I1013" s="302">
        <f>+H1013*(1+I1014)*(1+I1015)</f>
        <v>0</v>
      </c>
      <c r="J1013" s="324"/>
    </row>
    <row r="1014" spans="2:10" x14ac:dyDescent="0.2">
      <c r="B1014" s="299" t="s">
        <v>318</v>
      </c>
      <c r="C1014" s="306" t="s">
        <v>160</v>
      </c>
      <c r="D1014" s="320"/>
      <c r="E1014" s="321">
        <f>+$E$408</f>
        <v>3.3000000000000002E-2</v>
      </c>
      <c r="F1014" s="321">
        <f>+$F$408</f>
        <v>3.5999999999999997E-2</v>
      </c>
      <c r="G1014" s="321">
        <f>+$G$408</f>
        <v>4.2000000000000003E-2</v>
      </c>
      <c r="H1014" s="321">
        <f>+$H$408</f>
        <v>4.8000000000000001E-2</v>
      </c>
      <c r="I1014" s="321">
        <f>+$I$408</f>
        <v>5.3999999999999999E-2</v>
      </c>
      <c r="J1014" s="324"/>
    </row>
    <row r="1015" spans="2:10" x14ac:dyDescent="0.2">
      <c r="B1015" s="299" t="s">
        <v>305</v>
      </c>
      <c r="C1015" s="300"/>
      <c r="D1015" s="320"/>
      <c r="E1015" s="279">
        <v>0</v>
      </c>
      <c r="F1015" s="279">
        <v>0</v>
      </c>
      <c r="G1015" s="279">
        <v>0</v>
      </c>
      <c r="H1015" s="279">
        <v>0</v>
      </c>
      <c r="I1015" s="279">
        <v>0</v>
      </c>
      <c r="J1015" s="324"/>
    </row>
    <row r="1016" spans="2:10" ht="15" x14ac:dyDescent="0.25">
      <c r="B1016" s="322" t="s">
        <v>317</v>
      </c>
      <c r="C1016" s="306"/>
      <c r="D1016" s="323">
        <f t="shared" ref="D1016:I1016" si="1006">+D1013*D1008</f>
        <v>0</v>
      </c>
      <c r="E1016" s="323">
        <f t="shared" si="1006"/>
        <v>0</v>
      </c>
      <c r="F1016" s="323">
        <f t="shared" si="1006"/>
        <v>0</v>
      </c>
      <c r="G1016" s="323">
        <f t="shared" si="1006"/>
        <v>0</v>
      </c>
      <c r="H1016" s="323">
        <f t="shared" si="1006"/>
        <v>0</v>
      </c>
      <c r="I1016" s="323">
        <f t="shared" si="1006"/>
        <v>0</v>
      </c>
      <c r="J1016" s="324"/>
    </row>
    <row r="1017" spans="2:10" x14ac:dyDescent="0.2">
      <c r="B1017" s="299" t="s">
        <v>321</v>
      </c>
      <c r="C1017" s="306" t="s">
        <v>45</v>
      </c>
      <c r="D1017" s="302">
        <f>+P351</f>
        <v>1200.42</v>
      </c>
      <c r="E1017" s="302">
        <f>+D1017*(1+E1018)*(1+E1019)</f>
        <v>1240.03386</v>
      </c>
      <c r="F1017" s="302">
        <f>+E1017*(1+F1018)*(1+F1019)</f>
        <v>1284.6750789600001</v>
      </c>
      <c r="G1017" s="302">
        <f>+F1017*(1+G1018)*(1+G1019)</f>
        <v>1338.6314322763201</v>
      </c>
      <c r="H1017" s="302">
        <f>+G1017*(1+H1018)*(1+H1019)</f>
        <v>1402.8857410255835</v>
      </c>
      <c r="I1017" s="302">
        <f>+H1017*(1+I1018)*(1+I1019)</f>
        <v>1478.6415710409651</v>
      </c>
    </row>
    <row r="1018" spans="2:10" x14ac:dyDescent="0.2">
      <c r="B1018" s="299" t="s">
        <v>318</v>
      </c>
      <c r="C1018" s="306" t="s">
        <v>160</v>
      </c>
      <c r="D1018" s="320"/>
      <c r="E1018" s="321">
        <f>+$E$408</f>
        <v>3.3000000000000002E-2</v>
      </c>
      <c r="F1018" s="321">
        <f>+$F$408</f>
        <v>3.5999999999999997E-2</v>
      </c>
      <c r="G1018" s="321">
        <f>+$G$408</f>
        <v>4.2000000000000003E-2</v>
      </c>
      <c r="H1018" s="321">
        <f>+$H$408</f>
        <v>4.8000000000000001E-2</v>
      </c>
      <c r="I1018" s="321">
        <f>+$I$408</f>
        <v>5.3999999999999999E-2</v>
      </c>
    </row>
    <row r="1019" spans="2:10" x14ac:dyDescent="0.2">
      <c r="B1019" s="299" t="s">
        <v>305</v>
      </c>
      <c r="C1019" s="300"/>
      <c r="D1019" s="320"/>
      <c r="E1019" s="279">
        <v>0</v>
      </c>
      <c r="F1019" s="279">
        <v>0</v>
      </c>
      <c r="G1019" s="279">
        <v>0</v>
      </c>
      <c r="H1019" s="279">
        <v>0</v>
      </c>
      <c r="I1019" s="279">
        <v>0</v>
      </c>
    </row>
    <row r="1020" spans="2:10" ht="15" x14ac:dyDescent="0.25">
      <c r="B1020" s="322" t="s">
        <v>317</v>
      </c>
      <c r="C1020" s="306"/>
      <c r="D1020" s="323">
        <f t="shared" ref="D1020:I1020" si="1007">+D1017*D1008</f>
        <v>4740698.6639999999</v>
      </c>
      <c r="E1020" s="323">
        <f t="shared" si="1007"/>
        <v>471212.86680000002</v>
      </c>
      <c r="F1020" s="323">
        <f t="shared" si="1007"/>
        <v>507446.6561892</v>
      </c>
      <c r="G1020" s="323">
        <f t="shared" si="1007"/>
        <v>548838.88723329129</v>
      </c>
      <c r="H1020" s="323">
        <f t="shared" si="1007"/>
        <v>597629.32567689859</v>
      </c>
      <c r="I1020" s="323">
        <f t="shared" si="1007"/>
        <v>655038.21597114753</v>
      </c>
    </row>
    <row r="1021" spans="2:10" x14ac:dyDescent="0.2">
      <c r="B1021" s="316" t="str">
        <f>+Ingresos!B364</f>
        <v>Tomate de árbol</v>
      </c>
      <c r="C1021" s="317"/>
      <c r="D1021" s="318"/>
      <c r="E1021" s="318"/>
      <c r="F1021" s="318"/>
      <c r="G1021" s="318"/>
      <c r="H1021" s="318"/>
      <c r="I1021" s="318"/>
      <c r="J1021" s="324"/>
    </row>
    <row r="1022" spans="2:10" x14ac:dyDescent="0.2">
      <c r="B1022" s="299" t="s">
        <v>159</v>
      </c>
      <c r="C1022" s="319"/>
      <c r="D1022" s="302">
        <f>+P374</f>
        <v>14960.400000000003</v>
      </c>
      <c r="E1022" s="302">
        <f>+Ingresos!D742</f>
        <v>15558</v>
      </c>
      <c r="F1022" s="302">
        <f>+Ingresos!E742</f>
        <v>16180</v>
      </c>
      <c r="G1022" s="302">
        <f>+Ingresos!F742</f>
        <v>16827</v>
      </c>
      <c r="H1022" s="302">
        <f>+Ingresos!G742</f>
        <v>17500</v>
      </c>
      <c r="I1022" s="302">
        <f>+Ingresos!H742</f>
        <v>18200</v>
      </c>
      <c r="J1022" s="324"/>
    </row>
    <row r="1023" spans="2:10" x14ac:dyDescent="0.2">
      <c r="B1023" s="299" t="s">
        <v>319</v>
      </c>
      <c r="C1023" s="306" t="s">
        <v>45</v>
      </c>
      <c r="D1023" s="302">
        <f>+P361</f>
        <v>101.56</v>
      </c>
      <c r="E1023" s="302">
        <f>+D1023*(1+E1024)*(1+E1025)</f>
        <v>104.91148</v>
      </c>
      <c r="F1023" s="302">
        <f>+E1023*(1+F1024)*(1+F1025)</f>
        <v>108.68829328</v>
      </c>
      <c r="G1023" s="302">
        <f>+F1023*(1+G1024)*(1+G1025)</f>
        <v>113.25320159776</v>
      </c>
      <c r="H1023" s="302">
        <f>+G1023*(1+H1024)*(1+H1025)</f>
        <v>118.68935527445248</v>
      </c>
      <c r="I1023" s="302">
        <f>+H1023*(1+I1024)*(1+I1025)</f>
        <v>125.09858045927292</v>
      </c>
      <c r="J1023" s="324"/>
    </row>
    <row r="1024" spans="2:10" x14ac:dyDescent="0.2">
      <c r="B1024" s="299" t="s">
        <v>318</v>
      </c>
      <c r="C1024" s="306" t="s">
        <v>160</v>
      </c>
      <c r="D1024" s="320"/>
      <c r="E1024" s="321">
        <f>+E1010</f>
        <v>3.3000000000000002E-2</v>
      </c>
      <c r="F1024" s="321">
        <f>F674</f>
        <v>3.5999999999999997E-2</v>
      </c>
      <c r="G1024" s="321">
        <f>G674</f>
        <v>4.2000000000000003E-2</v>
      </c>
      <c r="H1024" s="321">
        <f>H674</f>
        <v>4.8000000000000001E-2</v>
      </c>
      <c r="I1024" s="321">
        <f>+$I$408</f>
        <v>5.3999999999999999E-2</v>
      </c>
      <c r="J1024" s="324"/>
    </row>
    <row r="1025" spans="2:10" x14ac:dyDescent="0.2">
      <c r="B1025" s="299" t="s">
        <v>305</v>
      </c>
      <c r="C1025" s="300"/>
      <c r="D1025" s="320"/>
      <c r="E1025" s="279">
        <v>0</v>
      </c>
      <c r="F1025" s="279">
        <v>0</v>
      </c>
      <c r="G1025" s="279">
        <v>0</v>
      </c>
      <c r="H1025" s="279">
        <v>0</v>
      </c>
      <c r="I1025" s="279">
        <v>0</v>
      </c>
      <c r="J1025" s="324"/>
    </row>
    <row r="1026" spans="2:10" ht="15" x14ac:dyDescent="0.25">
      <c r="B1026" s="322" t="s">
        <v>317</v>
      </c>
      <c r="C1026" s="306"/>
      <c r="D1026" s="304">
        <f t="shared" ref="D1026:I1026" si="1008">D1022*D1023</f>
        <v>1519378.2240000004</v>
      </c>
      <c r="E1026" s="304">
        <f t="shared" si="1008"/>
        <v>1632212.80584</v>
      </c>
      <c r="F1026" s="304">
        <f t="shared" si="1008"/>
        <v>1758576.5852703999</v>
      </c>
      <c r="G1026" s="304">
        <f t="shared" si="1008"/>
        <v>1905711.6232855076</v>
      </c>
      <c r="H1026" s="304">
        <f t="shared" si="1008"/>
        <v>2077063.7173029184</v>
      </c>
      <c r="I1026" s="304">
        <f t="shared" si="1008"/>
        <v>2276794.1643587672</v>
      </c>
      <c r="J1026" s="324"/>
    </row>
    <row r="1027" spans="2:10" x14ac:dyDescent="0.2">
      <c r="B1027" s="299" t="s">
        <v>320</v>
      </c>
      <c r="C1027" s="306" t="s">
        <v>45</v>
      </c>
      <c r="D1027" s="302">
        <f>+P363</f>
        <v>0</v>
      </c>
      <c r="E1027" s="302">
        <f>+D1027*(1+E1028)*(1+E1029)</f>
        <v>0</v>
      </c>
      <c r="F1027" s="302">
        <f>+E1027*(1+F1028)*(1+F1029)</f>
        <v>0</v>
      </c>
      <c r="G1027" s="302">
        <f>+F1027*(1+G1028)*(1+G1029)</f>
        <v>0</v>
      </c>
      <c r="H1027" s="302">
        <f>+G1027*(1+H1028)*(1+H1029)</f>
        <v>0</v>
      </c>
      <c r="I1027" s="302">
        <f>+H1027*(1+I1028)*(1+I1029)</f>
        <v>0</v>
      </c>
      <c r="J1027" s="324"/>
    </row>
    <row r="1028" spans="2:10" x14ac:dyDescent="0.2">
      <c r="B1028" s="299" t="s">
        <v>318</v>
      </c>
      <c r="C1028" s="306" t="s">
        <v>160</v>
      </c>
      <c r="D1028" s="320"/>
      <c r="E1028" s="321">
        <f>+$E$408</f>
        <v>3.3000000000000002E-2</v>
      </c>
      <c r="F1028" s="321">
        <f>+$F$408</f>
        <v>3.5999999999999997E-2</v>
      </c>
      <c r="G1028" s="321">
        <f>+$G$408</f>
        <v>4.2000000000000003E-2</v>
      </c>
      <c r="H1028" s="321">
        <f>+$H$408</f>
        <v>4.8000000000000001E-2</v>
      </c>
      <c r="I1028" s="321">
        <f>+$I$408</f>
        <v>5.3999999999999999E-2</v>
      </c>
      <c r="J1028" s="324"/>
    </row>
    <row r="1029" spans="2:10" x14ac:dyDescent="0.2">
      <c r="B1029" s="299" t="s">
        <v>305</v>
      </c>
      <c r="C1029" s="300"/>
      <c r="D1029" s="320"/>
      <c r="E1029" s="279">
        <v>0</v>
      </c>
      <c r="F1029" s="279">
        <v>0</v>
      </c>
      <c r="G1029" s="279">
        <v>0</v>
      </c>
      <c r="H1029" s="279">
        <v>0</v>
      </c>
      <c r="I1029" s="279">
        <v>0</v>
      </c>
      <c r="J1029" s="324"/>
    </row>
    <row r="1030" spans="2:10" ht="15" x14ac:dyDescent="0.25">
      <c r="B1030" s="322" t="s">
        <v>317</v>
      </c>
      <c r="C1030" s="306"/>
      <c r="D1030" s="323">
        <f t="shared" ref="D1030:I1030" si="1009">+D1027*D1022</f>
        <v>0</v>
      </c>
      <c r="E1030" s="323">
        <f t="shared" si="1009"/>
        <v>0</v>
      </c>
      <c r="F1030" s="323">
        <f t="shared" si="1009"/>
        <v>0</v>
      </c>
      <c r="G1030" s="323">
        <f t="shared" si="1009"/>
        <v>0</v>
      </c>
      <c r="H1030" s="323">
        <f t="shared" si="1009"/>
        <v>0</v>
      </c>
      <c r="I1030" s="323">
        <f t="shared" si="1009"/>
        <v>0</v>
      </c>
      <c r="J1030" s="324"/>
    </row>
    <row r="1031" spans="2:10" x14ac:dyDescent="0.2">
      <c r="B1031" s="299" t="s">
        <v>321</v>
      </c>
      <c r="C1031" s="306" t="s">
        <v>45</v>
      </c>
      <c r="D1031" s="302">
        <f>+P365</f>
        <v>0</v>
      </c>
      <c r="E1031" s="302">
        <f>+D1031*(1+E1032)*(1+E1033)</f>
        <v>0</v>
      </c>
      <c r="F1031" s="302">
        <f>+E1031*(1+F1032)*(1+F1033)</f>
        <v>0</v>
      </c>
      <c r="G1031" s="302">
        <f>+F1031*(1+G1032)*(1+G1033)</f>
        <v>0</v>
      </c>
      <c r="H1031" s="302">
        <f>+G1031*(1+H1032)*(1+H1033)</f>
        <v>0</v>
      </c>
      <c r="I1031" s="302">
        <f>+H1031*(1+I1032)*(1+I1033)</f>
        <v>0</v>
      </c>
    </row>
    <row r="1032" spans="2:10" x14ac:dyDescent="0.2">
      <c r="B1032" s="299" t="s">
        <v>318</v>
      </c>
      <c r="C1032" s="306" t="s">
        <v>160</v>
      </c>
      <c r="D1032" s="320"/>
      <c r="E1032" s="321">
        <f>+$E$408</f>
        <v>3.3000000000000002E-2</v>
      </c>
      <c r="F1032" s="321">
        <f>+$F$408</f>
        <v>3.5999999999999997E-2</v>
      </c>
      <c r="G1032" s="321">
        <f>+$G$408</f>
        <v>4.2000000000000003E-2</v>
      </c>
      <c r="H1032" s="321">
        <f>+$H$408</f>
        <v>4.8000000000000001E-2</v>
      </c>
      <c r="I1032" s="321">
        <f>+$I$408</f>
        <v>5.3999999999999999E-2</v>
      </c>
    </row>
    <row r="1033" spans="2:10" x14ac:dyDescent="0.2">
      <c r="B1033" s="299" t="s">
        <v>305</v>
      </c>
      <c r="C1033" s="300"/>
      <c r="D1033" s="320"/>
      <c r="E1033" s="279">
        <v>0</v>
      </c>
      <c r="F1033" s="279">
        <v>0</v>
      </c>
      <c r="G1033" s="279">
        <v>0</v>
      </c>
      <c r="H1033" s="279">
        <v>0</v>
      </c>
      <c r="I1033" s="279">
        <v>0</v>
      </c>
    </row>
    <row r="1034" spans="2:10" ht="15" x14ac:dyDescent="0.25">
      <c r="B1034" s="322" t="s">
        <v>317</v>
      </c>
      <c r="C1034" s="306"/>
      <c r="D1034" s="323">
        <f t="shared" ref="D1034:I1034" si="1010">+D1031*D1022</f>
        <v>0</v>
      </c>
      <c r="E1034" s="323">
        <f t="shared" si="1010"/>
        <v>0</v>
      </c>
      <c r="F1034" s="323">
        <f t="shared" si="1010"/>
        <v>0</v>
      </c>
      <c r="G1034" s="323">
        <f t="shared" si="1010"/>
        <v>0</v>
      </c>
      <c r="H1034" s="323">
        <f t="shared" si="1010"/>
        <v>0</v>
      </c>
      <c r="I1034" s="323">
        <f t="shared" si="1010"/>
        <v>0</v>
      </c>
    </row>
    <row r="1035" spans="2:10" x14ac:dyDescent="0.2">
      <c r="B1035" s="316" t="str">
        <f>+Ingresos!B749</f>
        <v>Uchuva/Capacho</v>
      </c>
      <c r="C1035" s="317"/>
      <c r="D1035" s="318"/>
      <c r="E1035" s="318"/>
      <c r="F1035" s="318"/>
      <c r="G1035" s="318"/>
      <c r="H1035" s="318"/>
      <c r="I1035" s="318"/>
      <c r="J1035" s="324"/>
    </row>
    <row r="1036" spans="2:10" x14ac:dyDescent="0.2">
      <c r="B1036" s="299" t="s">
        <v>159</v>
      </c>
      <c r="C1036" s="319"/>
      <c r="D1036" s="302">
        <f>+P382</f>
        <v>975.7199999999998</v>
      </c>
      <c r="E1036" s="302">
        <f>+Ingresos!D750</f>
        <v>1014</v>
      </c>
      <c r="F1036" s="302">
        <f>+Ingresos!E750</f>
        <v>1054</v>
      </c>
      <c r="G1036" s="302">
        <f>+Ingresos!F750</f>
        <v>1096</v>
      </c>
      <c r="H1036" s="302">
        <f>+Ingresos!G750</f>
        <v>1139</v>
      </c>
      <c r="I1036" s="302">
        <f>+Ingresos!H750</f>
        <v>1184</v>
      </c>
      <c r="J1036" s="324"/>
    </row>
    <row r="1037" spans="2:10" x14ac:dyDescent="0.2">
      <c r="B1037" s="299" t="s">
        <v>319</v>
      </c>
      <c r="C1037" s="306" t="s">
        <v>45</v>
      </c>
      <c r="D1037" s="302">
        <f>+P383</f>
        <v>2134.08</v>
      </c>
      <c r="E1037" s="302">
        <f>+D1037*(1+E1038)*(1+E1039)</f>
        <v>2204.5046399999997</v>
      </c>
      <c r="F1037" s="302">
        <f>+E1037*(1+F1038)*(1+F1039)</f>
        <v>2283.8668070399999</v>
      </c>
      <c r="G1037" s="302">
        <f>+F1037*(1+G1038)*(1+G1039)</f>
        <v>2379.7892129356801</v>
      </c>
      <c r="H1037" s="302">
        <f>+G1037*(1+H1038)*(1+H1039)</f>
        <v>2494.0190951565928</v>
      </c>
      <c r="I1037" s="302">
        <f>+H1037*(1+I1038)*(1+I1039)</f>
        <v>2628.696126295049</v>
      </c>
      <c r="J1037" s="324"/>
    </row>
    <row r="1038" spans="2:10" x14ac:dyDescent="0.2">
      <c r="B1038" s="299" t="s">
        <v>318</v>
      </c>
      <c r="C1038" s="306" t="s">
        <v>160</v>
      </c>
      <c r="D1038" s="320"/>
      <c r="E1038" s="321">
        <f>+E1024</f>
        <v>3.3000000000000002E-2</v>
      </c>
      <c r="F1038" s="321">
        <f t="shared" ref="F1038:I1038" si="1011">+F1024</f>
        <v>3.5999999999999997E-2</v>
      </c>
      <c r="G1038" s="321">
        <f t="shared" si="1011"/>
        <v>4.2000000000000003E-2</v>
      </c>
      <c r="H1038" s="321">
        <f t="shared" si="1011"/>
        <v>4.8000000000000001E-2</v>
      </c>
      <c r="I1038" s="321">
        <f t="shared" si="1011"/>
        <v>5.3999999999999999E-2</v>
      </c>
      <c r="J1038" s="324"/>
    </row>
    <row r="1039" spans="2:10" x14ac:dyDescent="0.2">
      <c r="B1039" s="299" t="s">
        <v>305</v>
      </c>
      <c r="C1039" s="300"/>
      <c r="D1039" s="320"/>
      <c r="E1039" s="279">
        <v>0</v>
      </c>
      <c r="F1039" s="279">
        <v>0</v>
      </c>
      <c r="G1039" s="279">
        <v>0</v>
      </c>
      <c r="H1039" s="279">
        <v>0</v>
      </c>
      <c r="I1039" s="279">
        <v>0</v>
      </c>
      <c r="J1039" s="324"/>
    </row>
    <row r="1040" spans="2:10" ht="15" x14ac:dyDescent="0.25">
      <c r="B1040" s="322" t="s">
        <v>317</v>
      </c>
      <c r="C1040" s="306"/>
      <c r="D1040" s="304">
        <f>D1036*D1037</f>
        <v>2082264.5375999995</v>
      </c>
      <c r="E1040" s="304">
        <f>E1036*E1037</f>
        <v>2235367.7049599998</v>
      </c>
      <c r="F1040" s="304">
        <f t="shared" ref="F1040:I1040" si="1012">F1036*F1037</f>
        <v>2407195.6146201598</v>
      </c>
      <c r="G1040" s="304">
        <f t="shared" si="1012"/>
        <v>2608248.9773775055</v>
      </c>
      <c r="H1040" s="304">
        <f t="shared" si="1012"/>
        <v>2840687.7493833592</v>
      </c>
      <c r="I1040" s="304">
        <f t="shared" si="1012"/>
        <v>3112376.2135333382</v>
      </c>
      <c r="J1040" s="324"/>
    </row>
    <row r="1041" spans="2:15" x14ac:dyDescent="0.2">
      <c r="B1041" s="299" t="s">
        <v>320</v>
      </c>
      <c r="C1041" s="306" t="s">
        <v>45</v>
      </c>
      <c r="D1041" s="302">
        <f>+P385</f>
        <v>283.95999999999998</v>
      </c>
      <c r="E1041" s="302">
        <f>+D1041*(1+E1042)*(1+E1043)</f>
        <v>293.33067999999997</v>
      </c>
      <c r="F1041" s="302">
        <f>+E1041*(1+F1042)*(1+F1043)</f>
        <v>303.89058447999997</v>
      </c>
      <c r="G1041" s="302">
        <f>+F1041*(1+G1042)*(1+G1043)</f>
        <v>316.65398902815997</v>
      </c>
      <c r="H1041" s="302">
        <f>+G1041*(1+H1042)*(1+H1043)</f>
        <v>331.85338050151165</v>
      </c>
      <c r="I1041" s="302">
        <f>+H1041*(1+I1042)*(1+I1043)</f>
        <v>349.77346304859327</v>
      </c>
      <c r="J1041" s="324"/>
    </row>
    <row r="1042" spans="2:15" x14ac:dyDescent="0.2">
      <c r="B1042" s="299" t="s">
        <v>318</v>
      </c>
      <c r="C1042" s="306" t="s">
        <v>160</v>
      </c>
      <c r="D1042" s="320"/>
      <c r="E1042" s="321">
        <f>+$E$408</f>
        <v>3.3000000000000002E-2</v>
      </c>
      <c r="F1042" s="321">
        <f>+$F$408</f>
        <v>3.5999999999999997E-2</v>
      </c>
      <c r="G1042" s="321">
        <f>+$G$408</f>
        <v>4.2000000000000003E-2</v>
      </c>
      <c r="H1042" s="321">
        <f>+$H$408</f>
        <v>4.8000000000000001E-2</v>
      </c>
      <c r="I1042" s="321">
        <f>+$I$408</f>
        <v>5.3999999999999999E-2</v>
      </c>
      <c r="J1042" s="324"/>
    </row>
    <row r="1043" spans="2:15" x14ac:dyDescent="0.2">
      <c r="B1043" s="299" t="s">
        <v>305</v>
      </c>
      <c r="C1043" s="300"/>
      <c r="D1043" s="320"/>
      <c r="E1043" s="279">
        <v>0</v>
      </c>
      <c r="F1043" s="279">
        <v>0</v>
      </c>
      <c r="G1043" s="279">
        <v>0</v>
      </c>
      <c r="H1043" s="279">
        <v>0</v>
      </c>
      <c r="I1043" s="279">
        <v>0</v>
      </c>
      <c r="J1043" s="324"/>
    </row>
    <row r="1044" spans="2:15" ht="15" x14ac:dyDescent="0.25">
      <c r="B1044" s="322" t="s">
        <v>317</v>
      </c>
      <c r="C1044" s="306"/>
      <c r="D1044" s="323">
        <f t="shared" ref="D1044:I1044" si="1013">+D1041*D1036</f>
        <v>277065.45119999995</v>
      </c>
      <c r="E1044" s="323">
        <f t="shared" si="1013"/>
        <v>297437.30951999995</v>
      </c>
      <c r="F1044" s="323">
        <f t="shared" si="1013"/>
        <v>320300.67604191997</v>
      </c>
      <c r="G1044" s="323">
        <f t="shared" si="1013"/>
        <v>347052.77197486331</v>
      </c>
      <c r="H1044" s="323">
        <f t="shared" si="1013"/>
        <v>377981.00039122178</v>
      </c>
      <c r="I1044" s="323">
        <f t="shared" si="1013"/>
        <v>414131.78024953441</v>
      </c>
      <c r="J1044" s="324"/>
    </row>
    <row r="1045" spans="2:15" x14ac:dyDescent="0.2">
      <c r="B1045" s="299" t="s">
        <v>321</v>
      </c>
      <c r="C1045" s="306" t="s">
        <v>45</v>
      </c>
      <c r="D1045" s="302">
        <f>+P387</f>
        <v>0</v>
      </c>
      <c r="E1045" s="302">
        <f>+D1045*(1+E1046)*(1+E1047)</f>
        <v>0</v>
      </c>
      <c r="F1045" s="302">
        <f>+E1045*(1+F1046)*(1+F1047)</f>
        <v>0</v>
      </c>
      <c r="G1045" s="302">
        <f>+F1045*(1+G1046)*(1+G1047)</f>
        <v>0</v>
      </c>
      <c r="H1045" s="302">
        <f>+G1045*(1+H1046)*(1+H1047)</f>
        <v>0</v>
      </c>
      <c r="I1045" s="302">
        <f>+H1045*(1+I1046)*(1+I1047)</f>
        <v>0</v>
      </c>
    </row>
    <row r="1046" spans="2:15" x14ac:dyDescent="0.2">
      <c r="B1046" s="299" t="s">
        <v>318</v>
      </c>
      <c r="C1046" s="306" t="s">
        <v>160</v>
      </c>
      <c r="D1046" s="320"/>
      <c r="E1046" s="321">
        <f>+$E$408</f>
        <v>3.3000000000000002E-2</v>
      </c>
      <c r="F1046" s="321">
        <f>+$F$408</f>
        <v>3.5999999999999997E-2</v>
      </c>
      <c r="G1046" s="321">
        <f>+$G$408</f>
        <v>4.2000000000000003E-2</v>
      </c>
      <c r="H1046" s="321">
        <f>+$H$408</f>
        <v>4.8000000000000001E-2</v>
      </c>
      <c r="I1046" s="321">
        <f>+$I$408</f>
        <v>5.3999999999999999E-2</v>
      </c>
      <c r="J1046" s="325"/>
    </row>
    <row r="1047" spans="2:15" x14ac:dyDescent="0.2">
      <c r="B1047" s="299" t="s">
        <v>305</v>
      </c>
      <c r="C1047" s="300"/>
      <c r="D1047" s="320"/>
      <c r="E1047" s="279">
        <v>0</v>
      </c>
      <c r="F1047" s="279">
        <v>0</v>
      </c>
      <c r="G1047" s="279">
        <v>0</v>
      </c>
      <c r="H1047" s="279">
        <v>0</v>
      </c>
      <c r="I1047" s="279">
        <v>0</v>
      </c>
      <c r="J1047" s="325"/>
    </row>
    <row r="1048" spans="2:15" ht="15" x14ac:dyDescent="0.25">
      <c r="B1048" s="322" t="s">
        <v>317</v>
      </c>
      <c r="C1048" s="306"/>
      <c r="D1048" s="323">
        <f t="shared" ref="D1048:I1048" si="1014">+D1045*D1036</f>
        <v>0</v>
      </c>
      <c r="E1048" s="323">
        <f t="shared" si="1014"/>
        <v>0</v>
      </c>
      <c r="F1048" s="323">
        <f t="shared" si="1014"/>
        <v>0</v>
      </c>
      <c r="G1048" s="323">
        <f t="shared" si="1014"/>
        <v>0</v>
      </c>
      <c r="H1048" s="323">
        <f t="shared" si="1014"/>
        <v>0</v>
      </c>
      <c r="I1048" s="323">
        <f t="shared" si="1014"/>
        <v>0</v>
      </c>
      <c r="J1048" s="326"/>
    </row>
    <row r="1049" spans="2:15" x14ac:dyDescent="0.2">
      <c r="I1049" s="327"/>
      <c r="J1049" s="327"/>
    </row>
    <row r="1050" spans="2:15" x14ac:dyDescent="0.2">
      <c r="I1050" s="328"/>
      <c r="J1050" s="328"/>
    </row>
    <row r="1051" spans="2:15" x14ac:dyDescent="0.2">
      <c r="B1051" s="313"/>
      <c r="C1051" s="313"/>
      <c r="D1051" s="329"/>
      <c r="E1051" s="329"/>
      <c r="F1051" s="329"/>
      <c r="G1051" s="329"/>
      <c r="H1051" s="315"/>
      <c r="I1051" s="315"/>
      <c r="J1051" s="315"/>
      <c r="N1051" s="315"/>
      <c r="O1051" s="315"/>
    </row>
    <row r="1052" spans="2:15" x14ac:dyDescent="0.2">
      <c r="B1052" s="313"/>
      <c r="C1052" s="313"/>
      <c r="D1052" s="313"/>
      <c r="E1052" s="313"/>
      <c r="F1052" s="313"/>
      <c r="G1052" s="313"/>
      <c r="H1052" s="315"/>
      <c r="I1052" s="315"/>
      <c r="J1052" s="315"/>
      <c r="K1052" s="315"/>
      <c r="L1052" s="315"/>
      <c r="M1052" s="315"/>
      <c r="N1052" s="315"/>
      <c r="O1052" s="315"/>
    </row>
    <row r="1053" spans="2:15" x14ac:dyDescent="0.2">
      <c r="B1053" s="313" t="s">
        <v>253</v>
      </c>
      <c r="C1053" s="330">
        <f>+D401/D399</f>
        <v>7.1555411257546858E-2</v>
      </c>
      <c r="D1053" s="330">
        <f>+E401/E399</f>
        <v>9.1426426481047984E-2</v>
      </c>
      <c r="E1053" s="330">
        <f>+F401/F399</f>
        <v>8.8265602635126436E-2</v>
      </c>
      <c r="F1053" s="330">
        <f>+G401/G399</f>
        <v>8.5207315786645241E-2</v>
      </c>
      <c r="G1053" s="330">
        <f>+H401/H399</f>
        <v>8.2250025078308864E-2</v>
      </c>
      <c r="H1053" s="315"/>
      <c r="I1053" s="315"/>
      <c r="J1053" s="315"/>
      <c r="K1053" s="315"/>
      <c r="L1053" s="315"/>
      <c r="M1053" s="315"/>
      <c r="N1053" s="315"/>
      <c r="O1053" s="315"/>
    </row>
    <row r="1054" spans="2:15" x14ac:dyDescent="0.2">
      <c r="B1054" s="313" t="s">
        <v>254</v>
      </c>
      <c r="C1054" s="330"/>
      <c r="D1054" s="330"/>
      <c r="E1054" s="330"/>
      <c r="F1054" s="330"/>
      <c r="G1054" s="330"/>
      <c r="H1054" s="315"/>
      <c r="I1054" s="315"/>
      <c r="J1054" s="315"/>
      <c r="K1054" s="315"/>
      <c r="L1054" s="315"/>
      <c r="M1054" s="315"/>
      <c r="N1054" s="315"/>
      <c r="O1054" s="315"/>
    </row>
    <row r="1055" spans="2:15" x14ac:dyDescent="0.2">
      <c r="B1055" s="313" t="s">
        <v>255</v>
      </c>
      <c r="C1055" s="330"/>
      <c r="D1055" s="330"/>
      <c r="E1055" s="330"/>
      <c r="F1055" s="330"/>
      <c r="G1055" s="330"/>
      <c r="H1055" s="315"/>
      <c r="I1055" s="315"/>
      <c r="J1055" s="315"/>
      <c r="K1055" s="315"/>
      <c r="L1055" s="315"/>
      <c r="M1055" s="315"/>
      <c r="N1055" s="315"/>
      <c r="O1055" s="315"/>
    </row>
    <row r="1056" spans="2:15" x14ac:dyDescent="0.2">
      <c r="B1056" s="313" t="s">
        <v>0</v>
      </c>
      <c r="C1056" s="330"/>
      <c r="D1056" s="330"/>
      <c r="E1056" s="330"/>
      <c r="F1056" s="330"/>
      <c r="G1056" s="330"/>
      <c r="H1056" s="315"/>
      <c r="I1056" s="315"/>
      <c r="J1056" s="315"/>
      <c r="K1056" s="315"/>
      <c r="L1056" s="315"/>
      <c r="M1056" s="315"/>
      <c r="N1056" s="315"/>
      <c r="O1056" s="315"/>
    </row>
    <row r="1057" spans="2:15" x14ac:dyDescent="0.2">
      <c r="B1057" s="313"/>
      <c r="C1057" s="331"/>
      <c r="D1057" s="331"/>
      <c r="E1057" s="331"/>
      <c r="F1057" s="331"/>
      <c r="G1057" s="331"/>
      <c r="H1057" s="315"/>
      <c r="I1057" s="315"/>
      <c r="J1057" s="315"/>
      <c r="K1057" s="315"/>
      <c r="L1057" s="315"/>
      <c r="M1057" s="315"/>
      <c r="N1057" s="315"/>
      <c r="O1057" s="315"/>
    </row>
    <row r="1058" spans="2:15" x14ac:dyDescent="0.2">
      <c r="B1058" s="315"/>
      <c r="C1058" s="315"/>
      <c r="D1058" s="315"/>
      <c r="E1058" s="315"/>
      <c r="F1058" s="332"/>
      <c r="G1058" s="332"/>
      <c r="H1058" s="315"/>
      <c r="I1058" s="315"/>
      <c r="J1058" s="315"/>
      <c r="K1058" s="315"/>
      <c r="L1058" s="315"/>
      <c r="M1058" s="315"/>
      <c r="N1058" s="315"/>
      <c r="O1058" s="315"/>
    </row>
    <row r="1059" spans="2:15" x14ac:dyDescent="0.2">
      <c r="B1059" s="315"/>
      <c r="C1059" s="332"/>
      <c r="D1059" s="331"/>
      <c r="E1059" s="331"/>
      <c r="F1059" s="331"/>
      <c r="G1059" s="331"/>
      <c r="H1059" s="315"/>
      <c r="I1059" s="315"/>
      <c r="J1059" s="315"/>
      <c r="K1059" s="315"/>
      <c r="L1059" s="315"/>
      <c r="M1059" s="315"/>
      <c r="N1059" s="315"/>
      <c r="O1059" s="315"/>
    </row>
    <row r="1060" spans="2:15" x14ac:dyDescent="0.2">
      <c r="B1060" s="315"/>
      <c r="C1060" s="332"/>
      <c r="D1060" s="331"/>
      <c r="E1060" s="331"/>
      <c r="F1060" s="331"/>
      <c r="G1060" s="331"/>
      <c r="H1060" s="315"/>
      <c r="I1060" s="315"/>
      <c r="J1060" s="315"/>
      <c r="K1060" s="315"/>
      <c r="L1060" s="315"/>
      <c r="M1060" s="315"/>
      <c r="N1060" s="315"/>
      <c r="O1060" s="315"/>
    </row>
    <row r="1061" spans="2:15" x14ac:dyDescent="0.2">
      <c r="B1061" s="315"/>
      <c r="C1061" s="333"/>
      <c r="D1061" s="313"/>
      <c r="E1061" s="313">
        <v>0.63398565810151497</v>
      </c>
      <c r="F1061" s="313"/>
      <c r="G1061" s="313">
        <v>0.36601434189848497</v>
      </c>
      <c r="H1061" s="315"/>
      <c r="I1061" s="315"/>
      <c r="J1061" s="315"/>
      <c r="K1061" s="315"/>
      <c r="L1061" s="315"/>
      <c r="M1061" s="315"/>
      <c r="N1061" s="315"/>
      <c r="O1061" s="315"/>
    </row>
    <row r="1062" spans="2:15" x14ac:dyDescent="0.2">
      <c r="B1062" s="315"/>
      <c r="C1062" s="332"/>
      <c r="D1062" s="331"/>
      <c r="E1062" s="313" t="s">
        <v>251</v>
      </c>
      <c r="F1062" s="313"/>
      <c r="G1062" s="313" t="s">
        <v>252</v>
      </c>
      <c r="H1062" s="315"/>
      <c r="I1062" s="315"/>
      <c r="J1062" s="315"/>
      <c r="K1062" s="315"/>
      <c r="L1062" s="315"/>
      <c r="M1062" s="315"/>
      <c r="N1062" s="315"/>
      <c r="O1062" s="315"/>
    </row>
    <row r="1063" spans="2:15" x14ac:dyDescent="0.2">
      <c r="B1063" s="315"/>
      <c r="C1063" s="315"/>
      <c r="D1063" s="313"/>
      <c r="E1063" s="313"/>
      <c r="F1063" s="313"/>
      <c r="G1063" s="313"/>
      <c r="H1063" s="315"/>
      <c r="I1063" s="315"/>
      <c r="J1063" s="315"/>
      <c r="K1063" s="315"/>
      <c r="L1063" s="315"/>
      <c r="M1063" s="315"/>
      <c r="N1063" s="315"/>
      <c r="O1063" s="315"/>
    </row>
    <row r="1064" spans="2:15" x14ac:dyDescent="0.2">
      <c r="B1064" s="315"/>
      <c r="C1064" s="315"/>
      <c r="D1064" s="313"/>
      <c r="E1064" s="313"/>
      <c r="F1064" s="313"/>
      <c r="G1064" s="313"/>
      <c r="H1064" s="315"/>
      <c r="I1064" s="315"/>
      <c r="J1064" s="315"/>
      <c r="K1064" s="315"/>
      <c r="L1064" s="315"/>
      <c r="M1064" s="315"/>
      <c r="N1064" s="315"/>
      <c r="O1064" s="315"/>
    </row>
    <row r="1065" spans="2:15" x14ac:dyDescent="0.2">
      <c r="B1065" s="315"/>
      <c r="C1065" s="315"/>
      <c r="D1065" s="313"/>
      <c r="E1065" s="313"/>
      <c r="F1065" s="313"/>
      <c r="G1065" s="313"/>
      <c r="H1065" s="315"/>
      <c r="I1065" s="315"/>
      <c r="J1065" s="315"/>
      <c r="K1065" s="315"/>
      <c r="L1065" s="315"/>
      <c r="M1065" s="315"/>
      <c r="N1065" s="315"/>
      <c r="O1065" s="315"/>
    </row>
    <row r="1066" spans="2:15" x14ac:dyDescent="0.2">
      <c r="B1066" s="315"/>
      <c r="C1066" s="334"/>
      <c r="D1066" s="334"/>
      <c r="E1066" s="334"/>
      <c r="F1066" s="334"/>
      <c r="G1066" s="334"/>
      <c r="H1066" s="315"/>
      <c r="I1066" s="315"/>
      <c r="J1066" s="315"/>
      <c r="K1066" s="315"/>
      <c r="L1066" s="315"/>
      <c r="M1066" s="315"/>
      <c r="N1066" s="315"/>
      <c r="O1066" s="315"/>
    </row>
    <row r="1067" spans="2:15" x14ac:dyDescent="0.2">
      <c r="C1067" s="335"/>
      <c r="D1067" s="335"/>
      <c r="E1067" s="335"/>
      <c r="F1067" s="335"/>
      <c r="G1067" s="335"/>
    </row>
    <row r="1070" spans="2:15" x14ac:dyDescent="0.2">
      <c r="C1070" s="335"/>
      <c r="D1070" s="335"/>
      <c r="E1070" s="335"/>
      <c r="F1070" s="335"/>
      <c r="G1070" s="335"/>
    </row>
    <row r="1073" spans="2:8" x14ac:dyDescent="0.2">
      <c r="B1073" s="336"/>
      <c r="C1073" s="336"/>
      <c r="D1073" s="336"/>
      <c r="E1073" s="336"/>
      <c r="F1073" s="336"/>
      <c r="G1073" s="336"/>
    </row>
    <row r="1075" spans="2:8" x14ac:dyDescent="0.2">
      <c r="C1075" s="336"/>
      <c r="F1075" s="337"/>
    </row>
    <row r="1076" spans="2:8" x14ac:dyDescent="0.2">
      <c r="E1076" s="337"/>
      <c r="F1076" s="337"/>
    </row>
    <row r="1079" spans="2:8" x14ac:dyDescent="0.2">
      <c r="H1079" s="337"/>
    </row>
    <row r="1081" spans="2:8" x14ac:dyDescent="0.2">
      <c r="B1081" s="338"/>
      <c r="C1081" s="339"/>
      <c r="D1081" s="339"/>
      <c r="E1081" s="339"/>
      <c r="F1081" s="339"/>
      <c r="G1081" s="339"/>
    </row>
    <row r="1082" spans="2:8" x14ac:dyDescent="0.2">
      <c r="B1082" s="338"/>
      <c r="C1082" s="340"/>
      <c r="D1082" s="340"/>
      <c r="E1082" s="340"/>
      <c r="F1082" s="340"/>
      <c r="G1082" s="340"/>
    </row>
    <row r="1085" spans="2:8" x14ac:dyDescent="0.2">
      <c r="C1085" s="336"/>
      <c r="D1085" s="336"/>
      <c r="E1085" s="336"/>
      <c r="F1085" s="336"/>
      <c r="G1085" s="336"/>
      <c r="H1085" s="336"/>
    </row>
    <row r="1089" spans="3:7" x14ac:dyDescent="0.2">
      <c r="C1089" s="336"/>
      <c r="D1089" s="336"/>
      <c r="E1089" s="336"/>
      <c r="F1089" s="336"/>
      <c r="G1089" s="336"/>
    </row>
    <row r="1090" spans="3:7" x14ac:dyDescent="0.2">
      <c r="D1090" s="337"/>
      <c r="E1090" s="337"/>
      <c r="F1090" s="337"/>
      <c r="G1090" s="336"/>
    </row>
    <row r="1091" spans="3:7" x14ac:dyDescent="0.2">
      <c r="C1091" s="336"/>
      <c r="D1091" s="336"/>
      <c r="E1091" s="336"/>
      <c r="F1091" s="336"/>
      <c r="G1091" s="336"/>
    </row>
    <row r="1092" spans="3:7" x14ac:dyDescent="0.2">
      <c r="C1092" s="336"/>
      <c r="D1092" s="336"/>
      <c r="E1092" s="336"/>
      <c r="F1092" s="336"/>
      <c r="G1092" s="336"/>
    </row>
    <row r="1094" spans="3:7" x14ac:dyDescent="0.2">
      <c r="C1094" s="336"/>
      <c r="D1094" s="336"/>
      <c r="E1094" s="336"/>
      <c r="F1094" s="336"/>
      <c r="G1094" s="336"/>
    </row>
    <row r="1096" spans="3:7" x14ac:dyDescent="0.2">
      <c r="C1096" s="336"/>
      <c r="D1096" s="336"/>
      <c r="E1096" s="336"/>
      <c r="F1096" s="336"/>
      <c r="G1096" s="336"/>
    </row>
    <row r="1098" spans="3:7" x14ac:dyDescent="0.2">
      <c r="C1098" s="336"/>
      <c r="D1098" s="336"/>
      <c r="E1098" s="336"/>
      <c r="F1098" s="336"/>
      <c r="G1098" s="336"/>
    </row>
    <row r="1099" spans="3:7" x14ac:dyDescent="0.2">
      <c r="C1099" s="336"/>
    </row>
    <row r="1116" spans="3:7" x14ac:dyDescent="0.2">
      <c r="C1116" s="336"/>
      <c r="D1116" s="336"/>
      <c r="E1116" s="336"/>
      <c r="F1116" s="336"/>
      <c r="G1116" s="336"/>
    </row>
    <row r="1117" spans="3:7" x14ac:dyDescent="0.2">
      <c r="D1117" s="337"/>
      <c r="E1117" s="337"/>
      <c r="F1117" s="337"/>
      <c r="G1117" s="337"/>
    </row>
    <row r="1118" spans="3:7" x14ac:dyDescent="0.2">
      <c r="C1118" s="337"/>
      <c r="D1118" s="337"/>
      <c r="E1118" s="337"/>
      <c r="F1118" s="337"/>
      <c r="G1118" s="337"/>
    </row>
  </sheetData>
  <mergeCells count="4">
    <mergeCell ref="B8:P8"/>
    <mergeCell ref="B9:P9"/>
    <mergeCell ref="B392:I392"/>
    <mergeCell ref="B393:I393"/>
  </mergeCells>
  <phoneticPr fontId="0" type="noConversion"/>
  <printOptions horizontalCentered="1" verticalCentered="1"/>
  <pageMargins left="0.39370078740157483" right="0.39370078740157483" top="0.39370078740157483" bottom="0.39370078740157483" header="0" footer="0"/>
  <pageSetup paperSize="9" scale="85" orientation="landscape" horizontalDpi="300" verticalDpi="300" r:id="rId1"/>
  <headerFooter alignWithMargins="0"/>
  <rowBreaks count="1" manualBreakCount="1">
    <brk id="1045" max="7" man="1"/>
  </rowBreaks>
  <drawing r:id="rId2"/>
  <legacyDrawing r:id="rId3"/>
  <controls>
    <mc:AlternateContent xmlns:mc="http://schemas.openxmlformats.org/markup-compatibility/2006">
      <mc:Choice Requires="x14">
        <control shapeId="18641" r:id="rId4" name="CommandButton1">
          <controlPr defaultSize="0" autoLine="0" r:id="rId5">
            <anchor moveWithCells="1">
              <from>
                <xdr:col>1</xdr:col>
                <xdr:colOff>9525</xdr:colOff>
                <xdr:row>1</xdr:row>
                <xdr:rowOff>66675</xdr:rowOff>
              </from>
              <to>
                <xdr:col>1</xdr:col>
                <xdr:colOff>1695450</xdr:colOff>
                <xdr:row>5</xdr:row>
                <xdr:rowOff>9525</xdr:rowOff>
              </to>
            </anchor>
          </controlPr>
        </control>
      </mc:Choice>
      <mc:Fallback>
        <control shapeId="18641" r:id="rId4" name="CommandButton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AP150"/>
  <sheetViews>
    <sheetView showGridLines="0" topLeftCell="A115" zoomScale="90" zoomScaleNormal="90" workbookViewId="0">
      <selection activeCell="F111" sqref="F111"/>
    </sheetView>
  </sheetViews>
  <sheetFormatPr baseColWidth="10" defaultRowHeight="12.75" x14ac:dyDescent="0.2"/>
  <cols>
    <col min="1" max="1" width="2.85546875" style="1" customWidth="1"/>
    <col min="2" max="2" width="3.7109375" style="345" customWidth="1"/>
    <col min="3" max="3" width="29.7109375" style="345" customWidth="1"/>
    <col min="4" max="4" width="12.7109375" style="345" bestFit="1" customWidth="1"/>
    <col min="5" max="5" width="14.42578125" style="345" bestFit="1" customWidth="1"/>
    <col min="6" max="6" width="14" style="345" bestFit="1" customWidth="1"/>
    <col min="7" max="7" width="14.85546875" style="345" bestFit="1" customWidth="1"/>
    <col min="8" max="8" width="14.42578125" style="345" bestFit="1" customWidth="1"/>
    <col min="9" max="9" width="12.7109375" style="345" bestFit="1" customWidth="1"/>
    <col min="10" max="10" width="11" style="345" bestFit="1" customWidth="1"/>
    <col min="11" max="11" width="14.140625" style="345" customWidth="1"/>
    <col min="12" max="12" width="12.7109375" style="345" customWidth="1"/>
    <col min="13" max="13" width="11" style="345" bestFit="1" customWidth="1"/>
    <col min="14" max="14" width="13.140625" style="345" customWidth="1"/>
    <col min="15" max="18" width="12.7109375" style="345" customWidth="1"/>
    <col min="19" max="19" width="11" style="345" bestFit="1" customWidth="1"/>
    <col min="20" max="20" width="12.5703125" style="345" customWidth="1"/>
    <col min="21" max="21" width="12.7109375" style="345" customWidth="1"/>
    <col min="22" max="23" width="11.42578125" style="345"/>
    <col min="24" max="24" width="12.85546875" style="345" bestFit="1" customWidth="1"/>
    <col min="25" max="39" width="11.42578125" style="345"/>
    <col min="40" max="40" width="12.7109375" style="345" customWidth="1"/>
    <col min="41" max="41" width="11.42578125" style="345"/>
    <col min="42" max="42" width="11.42578125" style="1"/>
    <col min="43" max="43" width="12.7109375" style="1" bestFit="1" customWidth="1"/>
    <col min="44" max="44" width="4.140625" style="1" customWidth="1"/>
    <col min="45" max="16384" width="11.42578125" style="1"/>
  </cols>
  <sheetData>
    <row r="1" spans="2:41" ht="15.75" customHeight="1" x14ac:dyDescent="0.2">
      <c r="D1" s="23"/>
      <c r="G1" s="23"/>
      <c r="H1" s="23"/>
    </row>
    <row r="7" spans="2:41" ht="13.5" thickBot="1" x14ac:dyDescent="0.25">
      <c r="M7" s="346"/>
      <c r="N7" s="347"/>
    </row>
    <row r="8" spans="2:41" x14ac:dyDescent="0.2">
      <c r="B8" s="348"/>
      <c r="C8" s="349"/>
      <c r="D8" s="349"/>
      <c r="E8" s="349"/>
      <c r="F8" s="349"/>
      <c r="G8" s="349"/>
      <c r="H8" s="785" t="s">
        <v>307</v>
      </c>
      <c r="I8" s="786"/>
      <c r="J8" s="786"/>
      <c r="K8" s="786"/>
      <c r="L8" s="786"/>
      <c r="M8" s="786"/>
      <c r="N8" s="786"/>
      <c r="O8" s="786"/>
      <c r="P8" s="349"/>
      <c r="Q8" s="349"/>
      <c r="R8" s="349"/>
      <c r="S8" s="349"/>
      <c r="T8" s="349"/>
      <c r="U8" s="349"/>
      <c r="V8" s="349"/>
      <c r="W8" s="349"/>
      <c r="X8" s="349"/>
      <c r="Y8" s="349"/>
      <c r="Z8" s="349"/>
      <c r="AA8" s="349"/>
      <c r="AB8" s="349"/>
      <c r="AC8" s="349"/>
      <c r="AD8" s="349"/>
      <c r="AE8" s="349"/>
      <c r="AF8" s="349"/>
      <c r="AG8" s="349"/>
      <c r="AH8" s="349"/>
      <c r="AI8" s="349"/>
      <c r="AJ8" s="349"/>
      <c r="AK8" s="349"/>
      <c r="AL8" s="349"/>
      <c r="AM8" s="349"/>
      <c r="AN8" s="349"/>
      <c r="AO8" s="350"/>
    </row>
    <row r="9" spans="2:41" x14ac:dyDescent="0.2">
      <c r="B9" s="351"/>
      <c r="C9" s="352"/>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3"/>
    </row>
    <row r="10" spans="2:41" x14ac:dyDescent="0.2">
      <c r="B10" s="351"/>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O10" s="353"/>
    </row>
    <row r="11" spans="2:41" ht="12.75" customHeight="1" x14ac:dyDescent="0.2">
      <c r="B11" s="351"/>
      <c r="C11" s="354" t="s">
        <v>106</v>
      </c>
      <c r="D11" s="779" t="s">
        <v>233</v>
      </c>
      <c r="E11" s="779"/>
      <c r="F11" s="779"/>
      <c r="G11" s="779" t="s">
        <v>234</v>
      </c>
      <c r="H11" s="779"/>
      <c r="I11" s="779"/>
      <c r="J11" s="779" t="s">
        <v>235</v>
      </c>
      <c r="K11" s="779"/>
      <c r="L11" s="779"/>
      <c r="M11" s="779" t="s">
        <v>236</v>
      </c>
      <c r="N11" s="779"/>
      <c r="O11" s="779"/>
      <c r="P11" s="779" t="s">
        <v>237</v>
      </c>
      <c r="Q11" s="779"/>
      <c r="R11" s="779"/>
      <c r="S11" s="779" t="s">
        <v>238</v>
      </c>
      <c r="T11" s="779"/>
      <c r="U11" s="779"/>
      <c r="V11" s="779" t="s">
        <v>239</v>
      </c>
      <c r="W11" s="779"/>
      <c r="X11" s="779"/>
      <c r="Y11" s="779" t="s">
        <v>240</v>
      </c>
      <c r="Z11" s="779"/>
      <c r="AA11" s="779"/>
      <c r="AB11" s="779" t="s">
        <v>241</v>
      </c>
      <c r="AC11" s="779"/>
      <c r="AD11" s="779"/>
      <c r="AE11" s="779" t="s">
        <v>242</v>
      </c>
      <c r="AF11" s="779"/>
      <c r="AG11" s="779"/>
      <c r="AH11" s="779" t="s">
        <v>243</v>
      </c>
      <c r="AI11" s="779"/>
      <c r="AJ11" s="779"/>
      <c r="AK11" s="779" t="s">
        <v>244</v>
      </c>
      <c r="AL11" s="779"/>
      <c r="AM11" s="779"/>
      <c r="AN11" s="352"/>
      <c r="AO11" s="353"/>
    </row>
    <row r="12" spans="2:41" ht="25.5" x14ac:dyDescent="0.2">
      <c r="B12" s="351"/>
      <c r="C12" s="354" t="s">
        <v>107</v>
      </c>
      <c r="D12" s="354" t="s">
        <v>35</v>
      </c>
      <c r="E12" s="354" t="s">
        <v>36</v>
      </c>
      <c r="F12" s="354" t="s">
        <v>245</v>
      </c>
      <c r="G12" s="354" t="s">
        <v>35</v>
      </c>
      <c r="H12" s="354" t="s">
        <v>36</v>
      </c>
      <c r="I12" s="354" t="s">
        <v>245</v>
      </c>
      <c r="J12" s="354" t="s">
        <v>35</v>
      </c>
      <c r="K12" s="354" t="s">
        <v>36</v>
      </c>
      <c r="L12" s="354" t="s">
        <v>245</v>
      </c>
      <c r="M12" s="354" t="s">
        <v>35</v>
      </c>
      <c r="N12" s="354" t="s">
        <v>36</v>
      </c>
      <c r="O12" s="354" t="s">
        <v>245</v>
      </c>
      <c r="P12" s="354" t="s">
        <v>35</v>
      </c>
      <c r="Q12" s="354" t="s">
        <v>36</v>
      </c>
      <c r="R12" s="354" t="s">
        <v>245</v>
      </c>
      <c r="S12" s="354" t="s">
        <v>35</v>
      </c>
      <c r="T12" s="354" t="s">
        <v>36</v>
      </c>
      <c r="U12" s="354" t="s">
        <v>245</v>
      </c>
      <c r="V12" s="354" t="s">
        <v>35</v>
      </c>
      <c r="W12" s="354" t="s">
        <v>36</v>
      </c>
      <c r="X12" s="354" t="s">
        <v>245</v>
      </c>
      <c r="Y12" s="354" t="s">
        <v>35</v>
      </c>
      <c r="Z12" s="354" t="s">
        <v>36</v>
      </c>
      <c r="AA12" s="354" t="s">
        <v>245</v>
      </c>
      <c r="AB12" s="354" t="s">
        <v>35</v>
      </c>
      <c r="AC12" s="354" t="s">
        <v>36</v>
      </c>
      <c r="AD12" s="354" t="s">
        <v>245</v>
      </c>
      <c r="AE12" s="354" t="s">
        <v>35</v>
      </c>
      <c r="AF12" s="354" t="s">
        <v>36</v>
      </c>
      <c r="AG12" s="354" t="s">
        <v>245</v>
      </c>
      <c r="AH12" s="354" t="s">
        <v>35</v>
      </c>
      <c r="AI12" s="354" t="s">
        <v>36</v>
      </c>
      <c r="AJ12" s="354" t="s">
        <v>37</v>
      </c>
      <c r="AK12" s="354" t="s">
        <v>35</v>
      </c>
      <c r="AL12" s="354" t="s">
        <v>36</v>
      </c>
      <c r="AM12" s="354" t="s">
        <v>245</v>
      </c>
      <c r="AN12" s="778" t="s">
        <v>247</v>
      </c>
      <c r="AO12" s="353"/>
    </row>
    <row r="13" spans="2:41" x14ac:dyDescent="0.2">
      <c r="B13" s="351"/>
      <c r="D13" s="355"/>
      <c r="E13" s="355"/>
      <c r="F13" s="355"/>
      <c r="G13" s="355"/>
      <c r="H13" s="355"/>
      <c r="I13" s="355"/>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5"/>
      <c r="AK13" s="355"/>
      <c r="AL13" s="355"/>
      <c r="AM13" s="355"/>
      <c r="AN13" s="778"/>
      <c r="AO13" s="353"/>
    </row>
    <row r="14" spans="2:41" x14ac:dyDescent="0.2">
      <c r="B14" s="351"/>
      <c r="C14" s="341" t="s">
        <v>428</v>
      </c>
      <c r="D14" s="342">
        <v>3</v>
      </c>
      <c r="E14" s="343">
        <v>908526</v>
      </c>
      <c r="F14" s="356">
        <f t="shared" ref="F14:F19" si="0">D14*E14</f>
        <v>2725578</v>
      </c>
      <c r="G14" s="342">
        <f>+D14</f>
        <v>3</v>
      </c>
      <c r="H14" s="343">
        <f t="shared" ref="H14:H19" si="1">E14</f>
        <v>908526</v>
      </c>
      <c r="I14" s="356">
        <f t="shared" ref="I14:I19" si="2">G14*H14</f>
        <v>2725578</v>
      </c>
      <c r="J14" s="342">
        <f>+G14</f>
        <v>3</v>
      </c>
      <c r="K14" s="343">
        <f t="shared" ref="K14:K19" si="3">H14</f>
        <v>908526</v>
      </c>
      <c r="L14" s="356">
        <f t="shared" ref="L14:L19" si="4">J14*K14</f>
        <v>2725578</v>
      </c>
      <c r="M14" s="342">
        <f>+J14</f>
        <v>3</v>
      </c>
      <c r="N14" s="343">
        <f t="shared" ref="N14:N19" si="5">K14</f>
        <v>908526</v>
      </c>
      <c r="O14" s="356">
        <f t="shared" ref="O14:O19" si="6">M14*N14</f>
        <v>2725578</v>
      </c>
      <c r="P14" s="342">
        <f>+M14</f>
        <v>3</v>
      </c>
      <c r="Q14" s="343">
        <f t="shared" ref="Q14:Q19" si="7">N14</f>
        <v>908526</v>
      </c>
      <c r="R14" s="356">
        <f t="shared" ref="R14:R19" si="8">P14*Q14</f>
        <v>2725578</v>
      </c>
      <c r="S14" s="342">
        <v>3</v>
      </c>
      <c r="T14" s="343">
        <f t="shared" ref="T14:T19" si="9">Q14</f>
        <v>908526</v>
      </c>
      <c r="U14" s="356">
        <f t="shared" ref="U14:U19" si="10">S14*T14</f>
        <v>2725578</v>
      </c>
      <c r="V14" s="342">
        <v>3</v>
      </c>
      <c r="W14" s="343">
        <f t="shared" ref="W14:W19" si="11">T14</f>
        <v>908526</v>
      </c>
      <c r="X14" s="356">
        <f t="shared" ref="X14:X19" si="12">V14*W14</f>
        <v>2725578</v>
      </c>
      <c r="Y14" s="342">
        <v>3</v>
      </c>
      <c r="Z14" s="343">
        <f t="shared" ref="Z14:Z19" si="13">W14</f>
        <v>908526</v>
      </c>
      <c r="AA14" s="356">
        <f t="shared" ref="AA14:AA19" si="14">Y14*Z14</f>
        <v>2725578</v>
      </c>
      <c r="AB14" s="342">
        <v>3</v>
      </c>
      <c r="AC14" s="343">
        <f t="shared" ref="AC14:AC19" si="15">Z14</f>
        <v>908526</v>
      </c>
      <c r="AD14" s="356">
        <f t="shared" ref="AD14:AD19" si="16">AB14*AC14</f>
        <v>2725578</v>
      </c>
      <c r="AE14" s="342">
        <v>3</v>
      </c>
      <c r="AF14" s="343">
        <f t="shared" ref="AF14:AF19" si="17">AC14</f>
        <v>908526</v>
      </c>
      <c r="AG14" s="356">
        <f t="shared" ref="AG14:AG19" si="18">AE14*AF14</f>
        <v>2725578</v>
      </c>
      <c r="AH14" s="342">
        <v>3</v>
      </c>
      <c r="AI14" s="343">
        <f t="shared" ref="AI14:AI19" si="19">AF14</f>
        <v>908526</v>
      </c>
      <c r="AJ14" s="356">
        <f t="shared" ref="AJ14:AJ19" si="20">AH14*AI14</f>
        <v>2725578</v>
      </c>
      <c r="AK14" s="342">
        <v>3</v>
      </c>
      <c r="AL14" s="343">
        <f t="shared" ref="AL14:AL19" si="21">AI14</f>
        <v>908526</v>
      </c>
      <c r="AM14" s="356">
        <f t="shared" ref="AM14:AM19" si="22">AK14*AL14</f>
        <v>2725578</v>
      </c>
      <c r="AN14" s="357">
        <f t="shared" ref="AN14:AN19" si="23">+AM14+AJ14+AG14+AD14+AA14+X14+U14+R14+O14+L14+I14+F14</f>
        <v>32706936</v>
      </c>
      <c r="AO14" s="353"/>
    </row>
    <row r="15" spans="2:41" x14ac:dyDescent="0.2">
      <c r="B15" s="351"/>
      <c r="C15" s="341"/>
      <c r="D15" s="342"/>
      <c r="E15" s="343"/>
      <c r="F15" s="356">
        <f t="shared" si="0"/>
        <v>0</v>
      </c>
      <c r="G15" s="342">
        <v>0</v>
      </c>
      <c r="H15" s="343">
        <f t="shared" si="1"/>
        <v>0</v>
      </c>
      <c r="I15" s="356">
        <f t="shared" si="2"/>
        <v>0</v>
      </c>
      <c r="J15" s="342">
        <v>0</v>
      </c>
      <c r="K15" s="343">
        <f t="shared" si="3"/>
        <v>0</v>
      </c>
      <c r="L15" s="356">
        <f t="shared" si="4"/>
        <v>0</v>
      </c>
      <c r="M15" s="342">
        <v>0</v>
      </c>
      <c r="N15" s="343">
        <f t="shared" si="5"/>
        <v>0</v>
      </c>
      <c r="O15" s="356">
        <f t="shared" si="6"/>
        <v>0</v>
      </c>
      <c r="P15" s="342"/>
      <c r="Q15" s="343">
        <f t="shared" si="7"/>
        <v>0</v>
      </c>
      <c r="R15" s="356">
        <f t="shared" si="8"/>
        <v>0</v>
      </c>
      <c r="S15" s="342"/>
      <c r="T15" s="343">
        <f t="shared" si="9"/>
        <v>0</v>
      </c>
      <c r="U15" s="356">
        <f t="shared" si="10"/>
        <v>0</v>
      </c>
      <c r="V15" s="342"/>
      <c r="W15" s="343">
        <f t="shared" si="11"/>
        <v>0</v>
      </c>
      <c r="X15" s="356">
        <f t="shared" si="12"/>
        <v>0</v>
      </c>
      <c r="Y15" s="342"/>
      <c r="Z15" s="343">
        <f t="shared" si="13"/>
        <v>0</v>
      </c>
      <c r="AA15" s="356">
        <f t="shared" si="14"/>
        <v>0</v>
      </c>
      <c r="AB15" s="342"/>
      <c r="AC15" s="343">
        <f t="shared" si="15"/>
        <v>0</v>
      </c>
      <c r="AD15" s="356">
        <f t="shared" si="16"/>
        <v>0</v>
      </c>
      <c r="AE15" s="342"/>
      <c r="AF15" s="343">
        <f t="shared" si="17"/>
        <v>0</v>
      </c>
      <c r="AG15" s="356">
        <f t="shared" si="18"/>
        <v>0</v>
      </c>
      <c r="AH15" s="342"/>
      <c r="AI15" s="343">
        <f t="shared" si="19"/>
        <v>0</v>
      </c>
      <c r="AJ15" s="356">
        <f t="shared" si="20"/>
        <v>0</v>
      </c>
      <c r="AK15" s="342"/>
      <c r="AL15" s="343">
        <f t="shared" si="21"/>
        <v>0</v>
      </c>
      <c r="AM15" s="356">
        <f t="shared" si="22"/>
        <v>0</v>
      </c>
      <c r="AN15" s="357">
        <f t="shared" si="23"/>
        <v>0</v>
      </c>
      <c r="AO15" s="353"/>
    </row>
    <row r="16" spans="2:41" x14ac:dyDescent="0.2">
      <c r="B16" s="351"/>
      <c r="C16" s="341"/>
      <c r="D16" s="342"/>
      <c r="E16" s="343"/>
      <c r="F16" s="356">
        <f t="shared" si="0"/>
        <v>0</v>
      </c>
      <c r="G16" s="342">
        <v>0</v>
      </c>
      <c r="H16" s="343">
        <f t="shared" si="1"/>
        <v>0</v>
      </c>
      <c r="I16" s="356">
        <f t="shared" si="2"/>
        <v>0</v>
      </c>
      <c r="J16" s="342">
        <v>0</v>
      </c>
      <c r="K16" s="343">
        <f t="shared" si="3"/>
        <v>0</v>
      </c>
      <c r="L16" s="356">
        <f t="shared" si="4"/>
        <v>0</v>
      </c>
      <c r="M16" s="342">
        <v>0</v>
      </c>
      <c r="N16" s="343">
        <f t="shared" si="5"/>
        <v>0</v>
      </c>
      <c r="O16" s="356">
        <f t="shared" si="6"/>
        <v>0</v>
      </c>
      <c r="P16" s="342"/>
      <c r="Q16" s="343">
        <f t="shared" si="7"/>
        <v>0</v>
      </c>
      <c r="R16" s="356">
        <f t="shared" si="8"/>
        <v>0</v>
      </c>
      <c r="S16" s="342"/>
      <c r="T16" s="343">
        <f t="shared" si="9"/>
        <v>0</v>
      </c>
      <c r="U16" s="356">
        <f t="shared" si="10"/>
        <v>0</v>
      </c>
      <c r="V16" s="342"/>
      <c r="W16" s="343">
        <f t="shared" si="11"/>
        <v>0</v>
      </c>
      <c r="X16" s="356">
        <f t="shared" si="12"/>
        <v>0</v>
      </c>
      <c r="Y16" s="342"/>
      <c r="Z16" s="343">
        <f t="shared" si="13"/>
        <v>0</v>
      </c>
      <c r="AA16" s="356">
        <f t="shared" si="14"/>
        <v>0</v>
      </c>
      <c r="AB16" s="342"/>
      <c r="AC16" s="343">
        <f t="shared" si="15"/>
        <v>0</v>
      </c>
      <c r="AD16" s="356">
        <f t="shared" si="16"/>
        <v>0</v>
      </c>
      <c r="AE16" s="342"/>
      <c r="AF16" s="343">
        <f t="shared" si="17"/>
        <v>0</v>
      </c>
      <c r="AG16" s="356">
        <f t="shared" si="18"/>
        <v>0</v>
      </c>
      <c r="AH16" s="342"/>
      <c r="AI16" s="343">
        <f t="shared" si="19"/>
        <v>0</v>
      </c>
      <c r="AJ16" s="356">
        <f t="shared" si="20"/>
        <v>0</v>
      </c>
      <c r="AK16" s="342"/>
      <c r="AL16" s="343">
        <f t="shared" si="21"/>
        <v>0</v>
      </c>
      <c r="AM16" s="356">
        <f t="shared" si="22"/>
        <v>0</v>
      </c>
      <c r="AN16" s="357">
        <f t="shared" si="23"/>
        <v>0</v>
      </c>
      <c r="AO16" s="353"/>
    </row>
    <row r="17" spans="2:41" x14ac:dyDescent="0.2">
      <c r="B17" s="351"/>
      <c r="C17" s="341"/>
      <c r="D17" s="342"/>
      <c r="E17" s="343"/>
      <c r="F17" s="356">
        <f t="shared" si="0"/>
        <v>0</v>
      </c>
      <c r="G17" s="342"/>
      <c r="H17" s="343">
        <f t="shared" si="1"/>
        <v>0</v>
      </c>
      <c r="I17" s="356">
        <f t="shared" si="2"/>
        <v>0</v>
      </c>
      <c r="J17" s="342"/>
      <c r="K17" s="343">
        <f t="shared" si="3"/>
        <v>0</v>
      </c>
      <c r="L17" s="356">
        <f t="shared" si="4"/>
        <v>0</v>
      </c>
      <c r="M17" s="342"/>
      <c r="N17" s="343">
        <f t="shared" si="5"/>
        <v>0</v>
      </c>
      <c r="O17" s="356">
        <f t="shared" si="6"/>
        <v>0</v>
      </c>
      <c r="P17" s="342"/>
      <c r="Q17" s="343">
        <f t="shared" si="7"/>
        <v>0</v>
      </c>
      <c r="R17" s="356">
        <f t="shared" si="8"/>
        <v>0</v>
      </c>
      <c r="S17" s="342"/>
      <c r="T17" s="343">
        <f t="shared" si="9"/>
        <v>0</v>
      </c>
      <c r="U17" s="356">
        <f t="shared" si="10"/>
        <v>0</v>
      </c>
      <c r="V17" s="342"/>
      <c r="W17" s="343">
        <f t="shared" si="11"/>
        <v>0</v>
      </c>
      <c r="X17" s="356">
        <f t="shared" si="12"/>
        <v>0</v>
      </c>
      <c r="Y17" s="342"/>
      <c r="Z17" s="343">
        <f t="shared" si="13"/>
        <v>0</v>
      </c>
      <c r="AA17" s="356">
        <f t="shared" si="14"/>
        <v>0</v>
      </c>
      <c r="AB17" s="342"/>
      <c r="AC17" s="343">
        <f t="shared" si="15"/>
        <v>0</v>
      </c>
      <c r="AD17" s="356">
        <f t="shared" si="16"/>
        <v>0</v>
      </c>
      <c r="AE17" s="342"/>
      <c r="AF17" s="343">
        <f t="shared" si="17"/>
        <v>0</v>
      </c>
      <c r="AG17" s="356">
        <f t="shared" si="18"/>
        <v>0</v>
      </c>
      <c r="AH17" s="342"/>
      <c r="AI17" s="343">
        <f t="shared" si="19"/>
        <v>0</v>
      </c>
      <c r="AJ17" s="356">
        <f t="shared" si="20"/>
        <v>0</v>
      </c>
      <c r="AK17" s="342"/>
      <c r="AL17" s="343">
        <f t="shared" si="21"/>
        <v>0</v>
      </c>
      <c r="AM17" s="356">
        <f t="shared" si="22"/>
        <v>0</v>
      </c>
      <c r="AN17" s="357">
        <f t="shared" si="23"/>
        <v>0</v>
      </c>
      <c r="AO17" s="353"/>
    </row>
    <row r="18" spans="2:41" x14ac:dyDescent="0.2">
      <c r="B18" s="351"/>
      <c r="C18" s="341"/>
      <c r="D18" s="342"/>
      <c r="E18" s="342"/>
      <c r="F18" s="356">
        <f t="shared" si="0"/>
        <v>0</v>
      </c>
      <c r="G18" s="342"/>
      <c r="H18" s="343">
        <f t="shared" si="1"/>
        <v>0</v>
      </c>
      <c r="I18" s="356">
        <f t="shared" si="2"/>
        <v>0</v>
      </c>
      <c r="J18" s="342"/>
      <c r="K18" s="343">
        <f t="shared" si="3"/>
        <v>0</v>
      </c>
      <c r="L18" s="356">
        <f t="shared" si="4"/>
        <v>0</v>
      </c>
      <c r="M18" s="342"/>
      <c r="N18" s="343">
        <f t="shared" si="5"/>
        <v>0</v>
      </c>
      <c r="O18" s="356">
        <f t="shared" si="6"/>
        <v>0</v>
      </c>
      <c r="P18" s="342"/>
      <c r="Q18" s="343">
        <f t="shared" si="7"/>
        <v>0</v>
      </c>
      <c r="R18" s="356">
        <f t="shared" si="8"/>
        <v>0</v>
      </c>
      <c r="S18" s="342"/>
      <c r="T18" s="343">
        <f t="shared" si="9"/>
        <v>0</v>
      </c>
      <c r="U18" s="356">
        <f t="shared" si="10"/>
        <v>0</v>
      </c>
      <c r="V18" s="342"/>
      <c r="W18" s="343">
        <f t="shared" si="11"/>
        <v>0</v>
      </c>
      <c r="X18" s="356">
        <f t="shared" si="12"/>
        <v>0</v>
      </c>
      <c r="Y18" s="342"/>
      <c r="Z18" s="343">
        <f t="shared" si="13"/>
        <v>0</v>
      </c>
      <c r="AA18" s="356">
        <f t="shared" si="14"/>
        <v>0</v>
      </c>
      <c r="AB18" s="342"/>
      <c r="AC18" s="343">
        <f t="shared" si="15"/>
        <v>0</v>
      </c>
      <c r="AD18" s="356">
        <f t="shared" si="16"/>
        <v>0</v>
      </c>
      <c r="AE18" s="342"/>
      <c r="AF18" s="343">
        <f t="shared" si="17"/>
        <v>0</v>
      </c>
      <c r="AG18" s="356">
        <f t="shared" si="18"/>
        <v>0</v>
      </c>
      <c r="AH18" s="342"/>
      <c r="AI18" s="343">
        <f t="shared" si="19"/>
        <v>0</v>
      </c>
      <c r="AJ18" s="356">
        <f t="shared" si="20"/>
        <v>0</v>
      </c>
      <c r="AK18" s="342"/>
      <c r="AL18" s="343">
        <f t="shared" si="21"/>
        <v>0</v>
      </c>
      <c r="AM18" s="356">
        <f t="shared" si="22"/>
        <v>0</v>
      </c>
      <c r="AN18" s="357">
        <f t="shared" si="23"/>
        <v>0</v>
      </c>
      <c r="AO18" s="353"/>
    </row>
    <row r="19" spans="2:41" x14ac:dyDescent="0.2">
      <c r="B19" s="351"/>
      <c r="C19" s="341"/>
      <c r="D19" s="342"/>
      <c r="E19" s="342"/>
      <c r="F19" s="356">
        <f t="shared" si="0"/>
        <v>0</v>
      </c>
      <c r="G19" s="342"/>
      <c r="H19" s="343">
        <f t="shared" si="1"/>
        <v>0</v>
      </c>
      <c r="I19" s="356">
        <f t="shared" si="2"/>
        <v>0</v>
      </c>
      <c r="J19" s="342"/>
      <c r="K19" s="343">
        <f t="shared" si="3"/>
        <v>0</v>
      </c>
      <c r="L19" s="356">
        <f t="shared" si="4"/>
        <v>0</v>
      </c>
      <c r="M19" s="342"/>
      <c r="N19" s="343">
        <f t="shared" si="5"/>
        <v>0</v>
      </c>
      <c r="O19" s="356">
        <f t="shared" si="6"/>
        <v>0</v>
      </c>
      <c r="P19" s="342"/>
      <c r="Q19" s="343">
        <f t="shared" si="7"/>
        <v>0</v>
      </c>
      <c r="R19" s="356">
        <f t="shared" si="8"/>
        <v>0</v>
      </c>
      <c r="S19" s="342"/>
      <c r="T19" s="343">
        <f t="shared" si="9"/>
        <v>0</v>
      </c>
      <c r="U19" s="356">
        <f t="shared" si="10"/>
        <v>0</v>
      </c>
      <c r="V19" s="342"/>
      <c r="W19" s="343">
        <f t="shared" si="11"/>
        <v>0</v>
      </c>
      <c r="X19" s="356">
        <f t="shared" si="12"/>
        <v>0</v>
      </c>
      <c r="Y19" s="342"/>
      <c r="Z19" s="343">
        <f t="shared" si="13"/>
        <v>0</v>
      </c>
      <c r="AA19" s="356">
        <f t="shared" si="14"/>
        <v>0</v>
      </c>
      <c r="AB19" s="342"/>
      <c r="AC19" s="343">
        <f t="shared" si="15"/>
        <v>0</v>
      </c>
      <c r="AD19" s="356">
        <f t="shared" si="16"/>
        <v>0</v>
      </c>
      <c r="AE19" s="342"/>
      <c r="AF19" s="343">
        <f t="shared" si="17"/>
        <v>0</v>
      </c>
      <c r="AG19" s="356">
        <f t="shared" si="18"/>
        <v>0</v>
      </c>
      <c r="AH19" s="342"/>
      <c r="AI19" s="343">
        <f t="shared" si="19"/>
        <v>0</v>
      </c>
      <c r="AJ19" s="356">
        <f t="shared" si="20"/>
        <v>0</v>
      </c>
      <c r="AK19" s="342"/>
      <c r="AL19" s="343">
        <f t="shared" si="21"/>
        <v>0</v>
      </c>
      <c r="AM19" s="356">
        <f t="shared" si="22"/>
        <v>0</v>
      </c>
      <c r="AN19" s="357">
        <f t="shared" si="23"/>
        <v>0</v>
      </c>
      <c r="AO19" s="353"/>
    </row>
    <row r="20" spans="2:41" x14ac:dyDescent="0.2">
      <c r="B20" s="351"/>
      <c r="C20" s="358"/>
      <c r="D20" s="359">
        <f>SUM(D14:D19)</f>
        <v>3</v>
      </c>
      <c r="E20" s="360"/>
      <c r="F20" s="361"/>
      <c r="G20" s="359">
        <f>SUM(G14:G19)</f>
        <v>3</v>
      </c>
      <c r="H20" s="360"/>
      <c r="I20" s="361"/>
      <c r="J20" s="359">
        <f>SUM(J14:J19)</f>
        <v>3</v>
      </c>
      <c r="K20" s="360"/>
      <c r="L20" s="361"/>
      <c r="M20" s="359">
        <f>SUM(M14:M19)</f>
        <v>3</v>
      </c>
      <c r="N20" s="360"/>
      <c r="O20" s="361"/>
      <c r="P20" s="359">
        <f>SUM(P14:P19)</f>
        <v>3</v>
      </c>
      <c r="Q20" s="360"/>
      <c r="R20" s="361"/>
      <c r="S20" s="359">
        <f>SUM(S14:S19)</f>
        <v>3</v>
      </c>
      <c r="T20" s="360"/>
      <c r="U20" s="361"/>
      <c r="V20" s="359">
        <f>SUM(V14:V19)</f>
        <v>3</v>
      </c>
      <c r="W20" s="360"/>
      <c r="X20" s="361"/>
      <c r="Y20" s="359">
        <f>SUM(Y14:Y19)</f>
        <v>3</v>
      </c>
      <c r="Z20" s="360"/>
      <c r="AA20" s="361"/>
      <c r="AB20" s="359">
        <f>SUM(AB14:AB19)</f>
        <v>3</v>
      </c>
      <c r="AC20" s="360"/>
      <c r="AD20" s="361"/>
      <c r="AE20" s="359">
        <f>SUM(AE14:AE19)</f>
        <v>3</v>
      </c>
      <c r="AF20" s="360"/>
      <c r="AG20" s="361"/>
      <c r="AH20" s="359">
        <f>SUM(AH14:AH19)</f>
        <v>3</v>
      </c>
      <c r="AI20" s="360"/>
      <c r="AJ20" s="361"/>
      <c r="AK20" s="359">
        <f>SUM(AK14:AK19)</f>
        <v>3</v>
      </c>
      <c r="AL20" s="360"/>
      <c r="AM20" s="361"/>
      <c r="AN20" s="357"/>
      <c r="AO20" s="353"/>
    </row>
    <row r="21" spans="2:41" x14ac:dyDescent="0.2">
      <c r="B21" s="351"/>
      <c r="C21" s="358"/>
      <c r="D21" s="362"/>
      <c r="E21" s="363"/>
      <c r="F21" s="356"/>
      <c r="G21" s="362"/>
      <c r="H21" s="363"/>
      <c r="I21" s="356"/>
      <c r="J21" s="362"/>
      <c r="K21" s="363"/>
      <c r="L21" s="356"/>
      <c r="M21" s="362"/>
      <c r="N21" s="363"/>
      <c r="O21" s="356"/>
      <c r="P21" s="362"/>
      <c r="Q21" s="363"/>
      <c r="R21" s="356"/>
      <c r="S21" s="362"/>
      <c r="T21" s="363"/>
      <c r="U21" s="356"/>
      <c r="V21" s="362"/>
      <c r="W21" s="363"/>
      <c r="X21" s="356"/>
      <c r="Y21" s="362"/>
      <c r="Z21" s="363"/>
      <c r="AA21" s="356"/>
      <c r="AB21" s="362"/>
      <c r="AC21" s="363"/>
      <c r="AD21" s="356"/>
      <c r="AE21" s="362"/>
      <c r="AF21" s="363"/>
      <c r="AG21" s="356"/>
      <c r="AH21" s="362"/>
      <c r="AI21" s="363"/>
      <c r="AJ21" s="356"/>
      <c r="AK21" s="362"/>
      <c r="AL21" s="363"/>
      <c r="AM21" s="356"/>
      <c r="AN21" s="357"/>
      <c r="AO21" s="353"/>
    </row>
    <row r="22" spans="2:41" x14ac:dyDescent="0.2">
      <c r="B22" s="351"/>
      <c r="C22" s="364" t="s">
        <v>108</v>
      </c>
      <c r="D22" s="365"/>
      <c r="E22" s="365"/>
      <c r="F22" s="365">
        <f>SUM(F14:F21)</f>
        <v>2725578</v>
      </c>
      <c r="G22" s="365"/>
      <c r="H22" s="365"/>
      <c r="I22" s="365">
        <f>SUM(I14:I21)</f>
        <v>2725578</v>
      </c>
      <c r="J22" s="365"/>
      <c r="K22" s="365"/>
      <c r="L22" s="365">
        <f>SUM(L14:L21)</f>
        <v>2725578</v>
      </c>
      <c r="M22" s="365"/>
      <c r="N22" s="365"/>
      <c r="O22" s="365">
        <f>SUM(O14:O21)</f>
        <v>2725578</v>
      </c>
      <c r="P22" s="365"/>
      <c r="Q22" s="365"/>
      <c r="R22" s="365">
        <f>SUM(R14:R21)</f>
        <v>2725578</v>
      </c>
      <c r="S22" s="365"/>
      <c r="T22" s="365"/>
      <c r="U22" s="365">
        <f>SUM(U14:U21)</f>
        <v>2725578</v>
      </c>
      <c r="V22" s="365"/>
      <c r="W22" s="365"/>
      <c r="X22" s="365">
        <f>SUM(X14:X21)</f>
        <v>2725578</v>
      </c>
      <c r="Y22" s="365"/>
      <c r="Z22" s="365"/>
      <c r="AA22" s="365">
        <f>SUM(AA14:AA21)</f>
        <v>2725578</v>
      </c>
      <c r="AB22" s="365"/>
      <c r="AC22" s="365"/>
      <c r="AD22" s="365">
        <f>SUM(AD14:AD21)</f>
        <v>2725578</v>
      </c>
      <c r="AE22" s="365"/>
      <c r="AF22" s="365"/>
      <c r="AG22" s="365">
        <f>SUM(AG14:AG21)</f>
        <v>2725578</v>
      </c>
      <c r="AH22" s="365"/>
      <c r="AI22" s="365"/>
      <c r="AJ22" s="365">
        <f>SUM(AJ14:AJ21)</f>
        <v>2725578</v>
      </c>
      <c r="AK22" s="365"/>
      <c r="AL22" s="365"/>
      <c r="AM22" s="365">
        <f>SUM(AM14:AM21)</f>
        <v>2725578</v>
      </c>
      <c r="AN22" s="366">
        <f>SUM(AN14:AN21)</f>
        <v>32706936</v>
      </c>
      <c r="AO22" s="353"/>
    </row>
    <row r="23" spans="2:41" x14ac:dyDescent="0.2">
      <c r="B23" s="351"/>
      <c r="C23" s="367" t="s">
        <v>161</v>
      </c>
      <c r="D23" s="368">
        <f>SUMIF(E14:E19,"&lt;923000",D14:D19)</f>
        <v>3</v>
      </c>
      <c r="E23" s="369">
        <f>Supuestos!D23</f>
        <v>0</v>
      </c>
      <c r="F23" s="356">
        <f>+E23*D23</f>
        <v>0</v>
      </c>
      <c r="G23" s="368">
        <f>SUMIF(H14:H19,"&lt;923000",G14:G19)</f>
        <v>3</v>
      </c>
      <c r="H23" s="369">
        <f>+E23</f>
        <v>0</v>
      </c>
      <c r="I23" s="356">
        <f>+H23*G23</f>
        <v>0</v>
      </c>
      <c r="J23" s="368">
        <f>SUMIF(K14:K19,"&lt;923000",J14:J19)</f>
        <v>3</v>
      </c>
      <c r="K23" s="369">
        <f>+H23</f>
        <v>0</v>
      </c>
      <c r="L23" s="356">
        <f>+K23*J23</f>
        <v>0</v>
      </c>
      <c r="M23" s="368">
        <f>SUMIF(N14:N19,"&lt;923000",M14:M19)</f>
        <v>3</v>
      </c>
      <c r="N23" s="369">
        <f>+K23</f>
        <v>0</v>
      </c>
      <c r="O23" s="356">
        <f>+N23*M23</f>
        <v>0</v>
      </c>
      <c r="P23" s="368">
        <f>SUMIF(Q14:Q19,"&lt;923000",P14:P19)</f>
        <v>3</v>
      </c>
      <c r="Q23" s="369">
        <f>+N23</f>
        <v>0</v>
      </c>
      <c r="R23" s="356">
        <f>+Q23*P23</f>
        <v>0</v>
      </c>
      <c r="S23" s="368">
        <f>SUMIF(T14:T19,"&lt;923000",S14:S19)</f>
        <v>3</v>
      </c>
      <c r="T23" s="369">
        <f>+Q23</f>
        <v>0</v>
      </c>
      <c r="U23" s="356">
        <f>+T23*S23</f>
        <v>0</v>
      </c>
      <c r="V23" s="368">
        <f>SUMIF(W14:W19,"&lt;923000",V14:V19)</f>
        <v>3</v>
      </c>
      <c r="W23" s="369">
        <f>+T23</f>
        <v>0</v>
      </c>
      <c r="X23" s="356">
        <f>+W23*V23</f>
        <v>0</v>
      </c>
      <c r="Y23" s="368">
        <f>SUMIF(Z14:Z19,"&lt;923000",Y14:Y19)</f>
        <v>3</v>
      </c>
      <c r="Z23" s="369">
        <f>+W23</f>
        <v>0</v>
      </c>
      <c r="AA23" s="356">
        <f>+Z23*Y23</f>
        <v>0</v>
      </c>
      <c r="AB23" s="368">
        <f>SUMIF(AC14:AC19,"&lt;923000",AB14:AB19)</f>
        <v>3</v>
      </c>
      <c r="AC23" s="369">
        <f>+Z23</f>
        <v>0</v>
      </c>
      <c r="AD23" s="356">
        <f>+AC23*AB23</f>
        <v>0</v>
      </c>
      <c r="AE23" s="368">
        <f>SUMIF(AF14:AF19,"&lt;923000",AE14:AE19)</f>
        <v>3</v>
      </c>
      <c r="AF23" s="369">
        <f>+AC23</f>
        <v>0</v>
      </c>
      <c r="AG23" s="356">
        <f>+AF23*AE23</f>
        <v>0</v>
      </c>
      <c r="AH23" s="368">
        <f>SUMIF(AI14:AI19,"&lt;923000",AH14:AH19)</f>
        <v>3</v>
      </c>
      <c r="AI23" s="369">
        <f>+AF23</f>
        <v>0</v>
      </c>
      <c r="AJ23" s="356">
        <f>+AI23*AH23</f>
        <v>0</v>
      </c>
      <c r="AK23" s="368">
        <f>SUMIF(AL14:AL19,"&lt;923000",AK14:AK19)</f>
        <v>3</v>
      </c>
      <c r="AL23" s="369">
        <f>+AI23</f>
        <v>0</v>
      </c>
      <c r="AM23" s="356">
        <f>+AL23*AK23</f>
        <v>0</v>
      </c>
      <c r="AN23" s="357">
        <f>+AM23+AJ23+AG23+AD23+AA23+X23+U23+R23+O23+L23+I23+F23</f>
        <v>0</v>
      </c>
      <c r="AO23" s="353"/>
    </row>
    <row r="24" spans="2:41" x14ac:dyDescent="0.2">
      <c r="B24" s="351"/>
      <c r="C24" s="367" t="s">
        <v>169</v>
      </c>
      <c r="D24" s="370"/>
      <c r="E24" s="369"/>
      <c r="F24" s="370">
        <f>(F22+F23)*Supuestos!D$25</f>
        <v>1635346.8</v>
      </c>
      <c r="G24" s="370"/>
      <c r="H24" s="369"/>
      <c r="I24" s="370">
        <f>(I22+I23)*Supuestos!D$25</f>
        <v>1635346.8</v>
      </c>
      <c r="J24" s="370"/>
      <c r="K24" s="369"/>
      <c r="L24" s="370">
        <f>(L22+L23)*Supuestos!D$25</f>
        <v>1635346.8</v>
      </c>
      <c r="M24" s="370"/>
      <c r="N24" s="369"/>
      <c r="O24" s="370">
        <f>(O22+O23)*Supuestos!D$25</f>
        <v>1635346.8</v>
      </c>
      <c r="P24" s="370"/>
      <c r="Q24" s="369"/>
      <c r="R24" s="370">
        <f>(R22+R23)*Supuestos!D$25</f>
        <v>1635346.8</v>
      </c>
      <c r="S24" s="370"/>
      <c r="T24" s="369"/>
      <c r="U24" s="370">
        <f>(U22+U23)*Supuestos!D$25</f>
        <v>1635346.8</v>
      </c>
      <c r="V24" s="370"/>
      <c r="W24" s="369"/>
      <c r="X24" s="370">
        <f>(X22+X23)*Supuestos!D$25</f>
        <v>1635346.8</v>
      </c>
      <c r="Y24" s="370"/>
      <c r="Z24" s="369"/>
      <c r="AA24" s="370">
        <f>(AA22+AA23)*Supuestos!D$25</f>
        <v>1635346.8</v>
      </c>
      <c r="AB24" s="370"/>
      <c r="AC24" s="369"/>
      <c r="AD24" s="370">
        <f>(AD22+AD23)*Supuestos!D$25</f>
        <v>1635346.8</v>
      </c>
      <c r="AE24" s="370"/>
      <c r="AF24" s="369"/>
      <c r="AG24" s="370">
        <f>(AG22+AG23)*Supuestos!D$25</f>
        <v>1635346.8</v>
      </c>
      <c r="AH24" s="370"/>
      <c r="AI24" s="369"/>
      <c r="AJ24" s="370">
        <f>(AJ22+AJ23)*Supuestos!D$25</f>
        <v>1635346.8</v>
      </c>
      <c r="AK24" s="370"/>
      <c r="AL24" s="369"/>
      <c r="AM24" s="370">
        <f>(AM22+AM23)*Supuestos!D$25</f>
        <v>1635346.8</v>
      </c>
      <c r="AN24" s="357">
        <f>+AM24+AJ24+AG24+AD24+AA24+X24+U24+R24+O24+L24+I24+F24</f>
        <v>19624161.600000005</v>
      </c>
      <c r="AO24" s="353"/>
    </row>
    <row r="25" spans="2:41" x14ac:dyDescent="0.2">
      <c r="B25" s="351"/>
      <c r="C25" s="371" t="s">
        <v>91</v>
      </c>
      <c r="D25" s="372"/>
      <c r="E25" s="372"/>
      <c r="F25" s="372">
        <f>SUM(F22:F24)</f>
        <v>4360924.8</v>
      </c>
      <c r="G25" s="372"/>
      <c r="H25" s="372"/>
      <c r="I25" s="372">
        <f>SUM(I22:I24)</f>
        <v>4360924.8</v>
      </c>
      <c r="J25" s="372"/>
      <c r="K25" s="372"/>
      <c r="L25" s="372">
        <f>SUM(L22:L24)</f>
        <v>4360924.8</v>
      </c>
      <c r="M25" s="372"/>
      <c r="N25" s="372"/>
      <c r="O25" s="372">
        <f>SUM(O22:O24)</f>
        <v>4360924.8</v>
      </c>
      <c r="P25" s="372"/>
      <c r="Q25" s="372"/>
      <c r="R25" s="372">
        <f>SUM(R22:R24)</f>
        <v>4360924.8</v>
      </c>
      <c r="S25" s="372"/>
      <c r="T25" s="372"/>
      <c r="U25" s="372">
        <f>SUM(U22:U24)</f>
        <v>4360924.8</v>
      </c>
      <c r="V25" s="372"/>
      <c r="W25" s="372"/>
      <c r="X25" s="372">
        <f>SUM(X22:X24)</f>
        <v>4360924.8</v>
      </c>
      <c r="Y25" s="372"/>
      <c r="Z25" s="372"/>
      <c r="AA25" s="372">
        <f>SUM(AA22:AA24)</f>
        <v>4360924.8</v>
      </c>
      <c r="AB25" s="372"/>
      <c r="AC25" s="372"/>
      <c r="AD25" s="372">
        <f>SUM(AD22:AD24)</f>
        <v>4360924.8</v>
      </c>
      <c r="AE25" s="372"/>
      <c r="AF25" s="372"/>
      <c r="AG25" s="372">
        <f>SUM(AG22:AG24)</f>
        <v>4360924.8</v>
      </c>
      <c r="AH25" s="372"/>
      <c r="AI25" s="372"/>
      <c r="AJ25" s="372">
        <f>SUM(AJ22:AJ24)</f>
        <v>4360924.8</v>
      </c>
      <c r="AK25" s="372"/>
      <c r="AL25" s="372"/>
      <c r="AM25" s="372">
        <f>SUM(AM22:AM24)</f>
        <v>4360924.8</v>
      </c>
      <c r="AN25" s="366">
        <f>SUM(AN22:AN24)</f>
        <v>52331097.600000009</v>
      </c>
      <c r="AO25" s="353"/>
    </row>
    <row r="26" spans="2:41" x14ac:dyDescent="0.2">
      <c r="B26" s="351"/>
      <c r="C26" s="373"/>
      <c r="D26" s="374"/>
      <c r="E26" s="374"/>
      <c r="F26" s="374"/>
      <c r="G26" s="374"/>
      <c r="H26" s="374"/>
      <c r="I26" s="374"/>
      <c r="J26" s="374"/>
      <c r="K26" s="374"/>
      <c r="L26" s="374"/>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4"/>
      <c r="AM26" s="374"/>
      <c r="AN26" s="375"/>
      <c r="AO26" s="353"/>
    </row>
    <row r="27" spans="2:41" ht="25.5" x14ac:dyDescent="0.2">
      <c r="B27" s="351"/>
      <c r="C27" s="354" t="s">
        <v>106</v>
      </c>
      <c r="D27" s="354" t="s">
        <v>35</v>
      </c>
      <c r="E27" s="354" t="s">
        <v>36</v>
      </c>
      <c r="F27" s="354" t="s">
        <v>245</v>
      </c>
      <c r="G27" s="354" t="s">
        <v>35</v>
      </c>
      <c r="H27" s="354" t="s">
        <v>36</v>
      </c>
      <c r="I27" s="354" t="s">
        <v>245</v>
      </c>
      <c r="J27" s="354" t="s">
        <v>35</v>
      </c>
      <c r="K27" s="354" t="s">
        <v>36</v>
      </c>
      <c r="L27" s="354" t="s">
        <v>245</v>
      </c>
      <c r="M27" s="354" t="s">
        <v>35</v>
      </c>
      <c r="N27" s="354" t="s">
        <v>36</v>
      </c>
      <c r="O27" s="354" t="s">
        <v>245</v>
      </c>
      <c r="P27" s="354" t="s">
        <v>35</v>
      </c>
      <c r="Q27" s="354" t="s">
        <v>36</v>
      </c>
      <c r="R27" s="354" t="s">
        <v>245</v>
      </c>
      <c r="S27" s="354" t="s">
        <v>35</v>
      </c>
      <c r="T27" s="354" t="s">
        <v>36</v>
      </c>
      <c r="U27" s="354" t="s">
        <v>245</v>
      </c>
      <c r="V27" s="354" t="s">
        <v>35</v>
      </c>
      <c r="W27" s="354" t="s">
        <v>36</v>
      </c>
      <c r="X27" s="354" t="s">
        <v>245</v>
      </c>
      <c r="Y27" s="354" t="s">
        <v>35</v>
      </c>
      <c r="Z27" s="354" t="s">
        <v>36</v>
      </c>
      <c r="AA27" s="354" t="s">
        <v>245</v>
      </c>
      <c r="AB27" s="354" t="s">
        <v>35</v>
      </c>
      <c r="AC27" s="354" t="s">
        <v>36</v>
      </c>
      <c r="AD27" s="354" t="s">
        <v>245</v>
      </c>
      <c r="AE27" s="354" t="s">
        <v>35</v>
      </c>
      <c r="AF27" s="354" t="s">
        <v>36</v>
      </c>
      <c r="AG27" s="354" t="s">
        <v>245</v>
      </c>
      <c r="AH27" s="354" t="s">
        <v>35</v>
      </c>
      <c r="AI27" s="354" t="s">
        <v>36</v>
      </c>
      <c r="AJ27" s="354" t="s">
        <v>37</v>
      </c>
      <c r="AK27" s="354" t="s">
        <v>35</v>
      </c>
      <c r="AL27" s="354" t="s">
        <v>36</v>
      </c>
      <c r="AM27" s="354" t="s">
        <v>245</v>
      </c>
      <c r="AN27" s="778" t="s">
        <v>247</v>
      </c>
      <c r="AO27" s="353"/>
    </row>
    <row r="28" spans="2:41" ht="12.75" customHeight="1" x14ac:dyDescent="0.2">
      <c r="B28" s="351"/>
      <c r="C28" s="354" t="s">
        <v>246</v>
      </c>
      <c r="D28" s="779" t="s">
        <v>233</v>
      </c>
      <c r="E28" s="779"/>
      <c r="F28" s="779"/>
      <c r="G28" s="779" t="s">
        <v>234</v>
      </c>
      <c r="H28" s="779"/>
      <c r="I28" s="779"/>
      <c r="J28" s="779" t="s">
        <v>235</v>
      </c>
      <c r="K28" s="779"/>
      <c r="L28" s="779"/>
      <c r="M28" s="779" t="s">
        <v>236</v>
      </c>
      <c r="N28" s="779"/>
      <c r="O28" s="779"/>
      <c r="P28" s="779" t="s">
        <v>237</v>
      </c>
      <c r="Q28" s="779"/>
      <c r="R28" s="779"/>
      <c r="S28" s="779" t="s">
        <v>238</v>
      </c>
      <c r="T28" s="779"/>
      <c r="U28" s="779"/>
      <c r="V28" s="779" t="s">
        <v>239</v>
      </c>
      <c r="W28" s="779"/>
      <c r="X28" s="779"/>
      <c r="Y28" s="779" t="s">
        <v>240</v>
      </c>
      <c r="Z28" s="779"/>
      <c r="AA28" s="779"/>
      <c r="AB28" s="779" t="s">
        <v>241</v>
      </c>
      <c r="AC28" s="779"/>
      <c r="AD28" s="779"/>
      <c r="AE28" s="779" t="s">
        <v>242</v>
      </c>
      <c r="AF28" s="779"/>
      <c r="AG28" s="779"/>
      <c r="AH28" s="779" t="s">
        <v>243</v>
      </c>
      <c r="AI28" s="779"/>
      <c r="AJ28" s="779"/>
      <c r="AK28" s="779" t="s">
        <v>244</v>
      </c>
      <c r="AL28" s="779"/>
      <c r="AM28" s="779"/>
      <c r="AN28" s="778"/>
      <c r="AO28" s="353"/>
    </row>
    <row r="29" spans="2:41" x14ac:dyDescent="0.2">
      <c r="B29" s="351"/>
      <c r="C29" s="341" t="s">
        <v>462</v>
      </c>
      <c r="D29" s="342">
        <v>1</v>
      </c>
      <c r="E29" s="343">
        <v>1200000</v>
      </c>
      <c r="F29" s="356">
        <f>D29*E29</f>
        <v>1200000</v>
      </c>
      <c r="G29" s="342">
        <v>1</v>
      </c>
      <c r="H29" s="343">
        <f>E29</f>
        <v>1200000</v>
      </c>
      <c r="I29" s="356">
        <f t="shared" ref="I29:I34" si="24">G29*H29</f>
        <v>1200000</v>
      </c>
      <c r="J29" s="342">
        <v>1</v>
      </c>
      <c r="K29" s="343">
        <f t="shared" ref="K29:K34" si="25">H29</f>
        <v>1200000</v>
      </c>
      <c r="L29" s="356">
        <f t="shared" ref="L29:L34" si="26">J29*K29</f>
        <v>1200000</v>
      </c>
      <c r="M29" s="342">
        <v>1</v>
      </c>
      <c r="N29" s="343">
        <f t="shared" ref="N29:N34" si="27">K29</f>
        <v>1200000</v>
      </c>
      <c r="O29" s="356">
        <f t="shared" ref="O29:O34" si="28">M29*N29</f>
        <v>1200000</v>
      </c>
      <c r="P29" s="342">
        <v>1</v>
      </c>
      <c r="Q29" s="343">
        <f t="shared" ref="Q29:Q34" si="29">N29</f>
        <v>1200000</v>
      </c>
      <c r="R29" s="356">
        <f t="shared" ref="R29:R34" si="30">P29*Q29</f>
        <v>1200000</v>
      </c>
      <c r="S29" s="342">
        <v>1</v>
      </c>
      <c r="T29" s="343">
        <f t="shared" ref="T29:T34" si="31">Q29</f>
        <v>1200000</v>
      </c>
      <c r="U29" s="356">
        <f t="shared" ref="U29:U34" si="32">S29*T29</f>
        <v>1200000</v>
      </c>
      <c r="V29" s="342">
        <v>1</v>
      </c>
      <c r="W29" s="343">
        <f t="shared" ref="W29:W34" si="33">T29</f>
        <v>1200000</v>
      </c>
      <c r="X29" s="356">
        <f t="shared" ref="X29:X34" si="34">V29*W29</f>
        <v>1200000</v>
      </c>
      <c r="Y29" s="342">
        <v>1</v>
      </c>
      <c r="Z29" s="343">
        <f t="shared" ref="Z29:Z34" si="35">W29</f>
        <v>1200000</v>
      </c>
      <c r="AA29" s="356">
        <f t="shared" ref="AA29:AA34" si="36">Y29*Z29</f>
        <v>1200000</v>
      </c>
      <c r="AB29" s="342">
        <v>1</v>
      </c>
      <c r="AC29" s="343">
        <f t="shared" ref="AC29:AC34" si="37">Z29</f>
        <v>1200000</v>
      </c>
      <c r="AD29" s="356">
        <f t="shared" ref="AD29:AD34" si="38">AB29*AC29</f>
        <v>1200000</v>
      </c>
      <c r="AE29" s="342">
        <v>1</v>
      </c>
      <c r="AF29" s="343">
        <f t="shared" ref="AF29:AF34" si="39">AC29</f>
        <v>1200000</v>
      </c>
      <c r="AG29" s="356">
        <f t="shared" ref="AG29:AG34" si="40">AE29*AF29</f>
        <v>1200000</v>
      </c>
      <c r="AH29" s="342">
        <v>1</v>
      </c>
      <c r="AI29" s="343">
        <f t="shared" ref="AI29:AI34" si="41">AF29</f>
        <v>1200000</v>
      </c>
      <c r="AJ29" s="356">
        <f t="shared" ref="AJ29:AJ34" si="42">AH29*AI29</f>
        <v>1200000</v>
      </c>
      <c r="AK29" s="342">
        <v>1</v>
      </c>
      <c r="AL29" s="343">
        <f t="shared" ref="AL29:AL34" si="43">AI29</f>
        <v>1200000</v>
      </c>
      <c r="AM29" s="356">
        <f t="shared" ref="AM29:AM34" si="44">AK29*AL29</f>
        <v>1200000</v>
      </c>
      <c r="AN29" s="357">
        <f t="shared" ref="AN29:AN34" si="45">+AM29+AJ29+AG29+AD29+AA29+X29+U29+R29+O29+L29+I29+F29</f>
        <v>14400000</v>
      </c>
      <c r="AO29" s="353"/>
    </row>
    <row r="30" spans="2:41" x14ac:dyDescent="0.2">
      <c r="B30" s="351"/>
      <c r="C30" s="341"/>
      <c r="D30" s="342"/>
      <c r="E30" s="343"/>
      <c r="F30" s="356">
        <f>D30*E30</f>
        <v>0</v>
      </c>
      <c r="G30" s="342"/>
      <c r="H30" s="343">
        <f>E30</f>
        <v>0</v>
      </c>
      <c r="I30" s="356">
        <f t="shared" si="24"/>
        <v>0</v>
      </c>
      <c r="J30" s="342"/>
      <c r="K30" s="343">
        <f t="shared" si="25"/>
        <v>0</v>
      </c>
      <c r="L30" s="356">
        <f t="shared" si="26"/>
        <v>0</v>
      </c>
      <c r="M30" s="342"/>
      <c r="N30" s="343">
        <f t="shared" si="27"/>
        <v>0</v>
      </c>
      <c r="O30" s="356">
        <f t="shared" si="28"/>
        <v>0</v>
      </c>
      <c r="P30" s="342"/>
      <c r="Q30" s="343">
        <f t="shared" si="29"/>
        <v>0</v>
      </c>
      <c r="R30" s="356">
        <f t="shared" si="30"/>
        <v>0</v>
      </c>
      <c r="S30" s="342"/>
      <c r="T30" s="343">
        <f t="shared" si="31"/>
        <v>0</v>
      </c>
      <c r="U30" s="356">
        <f t="shared" si="32"/>
        <v>0</v>
      </c>
      <c r="V30" s="342"/>
      <c r="W30" s="343">
        <f t="shared" si="33"/>
        <v>0</v>
      </c>
      <c r="X30" s="356">
        <f t="shared" si="34"/>
        <v>0</v>
      </c>
      <c r="Y30" s="342"/>
      <c r="Z30" s="343">
        <f t="shared" si="35"/>
        <v>0</v>
      </c>
      <c r="AA30" s="356">
        <f t="shared" si="36"/>
        <v>0</v>
      </c>
      <c r="AB30" s="342"/>
      <c r="AC30" s="343">
        <f t="shared" si="37"/>
        <v>0</v>
      </c>
      <c r="AD30" s="356">
        <f t="shared" si="38"/>
        <v>0</v>
      </c>
      <c r="AE30" s="342"/>
      <c r="AF30" s="343">
        <f t="shared" si="39"/>
        <v>0</v>
      </c>
      <c r="AG30" s="356">
        <f t="shared" si="40"/>
        <v>0</v>
      </c>
      <c r="AH30" s="342"/>
      <c r="AI30" s="343">
        <f t="shared" si="41"/>
        <v>0</v>
      </c>
      <c r="AJ30" s="356">
        <f t="shared" si="42"/>
        <v>0</v>
      </c>
      <c r="AK30" s="342"/>
      <c r="AL30" s="343">
        <f t="shared" si="43"/>
        <v>0</v>
      </c>
      <c r="AM30" s="356">
        <f t="shared" si="44"/>
        <v>0</v>
      </c>
      <c r="AN30" s="357">
        <f t="shared" si="45"/>
        <v>0</v>
      </c>
      <c r="AO30" s="353"/>
    </row>
    <row r="31" spans="2:41" x14ac:dyDescent="0.2">
      <c r="B31" s="351"/>
      <c r="C31" s="341"/>
      <c r="D31" s="342"/>
      <c r="E31" s="343"/>
      <c r="F31" s="356">
        <f t="shared" ref="F31:F34" si="46">D31*E31</f>
        <v>0</v>
      </c>
      <c r="G31" s="342"/>
      <c r="H31" s="343">
        <f t="shared" ref="H31:H34" si="47">E31</f>
        <v>0</v>
      </c>
      <c r="I31" s="356">
        <f t="shared" si="24"/>
        <v>0</v>
      </c>
      <c r="J31" s="342"/>
      <c r="K31" s="343">
        <f t="shared" si="25"/>
        <v>0</v>
      </c>
      <c r="L31" s="356">
        <f t="shared" si="26"/>
        <v>0</v>
      </c>
      <c r="M31" s="342"/>
      <c r="N31" s="343">
        <f t="shared" si="27"/>
        <v>0</v>
      </c>
      <c r="O31" s="356">
        <f t="shared" si="28"/>
        <v>0</v>
      </c>
      <c r="P31" s="342"/>
      <c r="Q31" s="343">
        <f t="shared" si="29"/>
        <v>0</v>
      </c>
      <c r="R31" s="356">
        <f t="shared" si="30"/>
        <v>0</v>
      </c>
      <c r="S31" s="342"/>
      <c r="T31" s="343">
        <f t="shared" si="31"/>
        <v>0</v>
      </c>
      <c r="U31" s="356">
        <f t="shared" si="32"/>
        <v>0</v>
      </c>
      <c r="V31" s="342"/>
      <c r="W31" s="343">
        <f t="shared" si="33"/>
        <v>0</v>
      </c>
      <c r="X31" s="356">
        <f t="shared" si="34"/>
        <v>0</v>
      </c>
      <c r="Y31" s="342"/>
      <c r="Z31" s="343">
        <f t="shared" si="35"/>
        <v>0</v>
      </c>
      <c r="AA31" s="356">
        <f t="shared" si="36"/>
        <v>0</v>
      </c>
      <c r="AB31" s="342"/>
      <c r="AC31" s="343">
        <f t="shared" si="37"/>
        <v>0</v>
      </c>
      <c r="AD31" s="356">
        <f t="shared" si="38"/>
        <v>0</v>
      </c>
      <c r="AE31" s="342"/>
      <c r="AF31" s="343">
        <f t="shared" si="39"/>
        <v>0</v>
      </c>
      <c r="AG31" s="356">
        <f t="shared" si="40"/>
        <v>0</v>
      </c>
      <c r="AH31" s="342"/>
      <c r="AI31" s="343">
        <f t="shared" si="41"/>
        <v>0</v>
      </c>
      <c r="AJ31" s="356">
        <f t="shared" si="42"/>
        <v>0</v>
      </c>
      <c r="AK31" s="342"/>
      <c r="AL31" s="343">
        <f t="shared" si="43"/>
        <v>0</v>
      </c>
      <c r="AM31" s="356">
        <f t="shared" si="44"/>
        <v>0</v>
      </c>
      <c r="AN31" s="357">
        <f t="shared" si="45"/>
        <v>0</v>
      </c>
      <c r="AO31" s="353"/>
    </row>
    <row r="32" spans="2:41" x14ac:dyDescent="0.2">
      <c r="B32" s="351"/>
      <c r="C32" s="341"/>
      <c r="D32" s="342"/>
      <c r="E32" s="343"/>
      <c r="F32" s="356">
        <f t="shared" si="46"/>
        <v>0</v>
      </c>
      <c r="G32" s="342"/>
      <c r="H32" s="343">
        <f t="shared" si="47"/>
        <v>0</v>
      </c>
      <c r="I32" s="356">
        <f t="shared" si="24"/>
        <v>0</v>
      </c>
      <c r="J32" s="342"/>
      <c r="K32" s="343">
        <f t="shared" si="25"/>
        <v>0</v>
      </c>
      <c r="L32" s="356">
        <f t="shared" si="26"/>
        <v>0</v>
      </c>
      <c r="M32" s="342"/>
      <c r="N32" s="343">
        <f t="shared" si="27"/>
        <v>0</v>
      </c>
      <c r="O32" s="356">
        <f t="shared" si="28"/>
        <v>0</v>
      </c>
      <c r="P32" s="342"/>
      <c r="Q32" s="343">
        <f t="shared" si="29"/>
        <v>0</v>
      </c>
      <c r="R32" s="356">
        <f t="shared" si="30"/>
        <v>0</v>
      </c>
      <c r="S32" s="342"/>
      <c r="T32" s="343">
        <f t="shared" si="31"/>
        <v>0</v>
      </c>
      <c r="U32" s="356">
        <f t="shared" si="32"/>
        <v>0</v>
      </c>
      <c r="V32" s="342"/>
      <c r="W32" s="343">
        <f t="shared" si="33"/>
        <v>0</v>
      </c>
      <c r="X32" s="356">
        <f t="shared" si="34"/>
        <v>0</v>
      </c>
      <c r="Y32" s="342"/>
      <c r="Z32" s="343">
        <f t="shared" si="35"/>
        <v>0</v>
      </c>
      <c r="AA32" s="356">
        <f t="shared" si="36"/>
        <v>0</v>
      </c>
      <c r="AB32" s="342"/>
      <c r="AC32" s="343">
        <f t="shared" si="37"/>
        <v>0</v>
      </c>
      <c r="AD32" s="356">
        <f t="shared" si="38"/>
        <v>0</v>
      </c>
      <c r="AE32" s="342"/>
      <c r="AF32" s="343">
        <f t="shared" si="39"/>
        <v>0</v>
      </c>
      <c r="AG32" s="356">
        <f t="shared" si="40"/>
        <v>0</v>
      </c>
      <c r="AH32" s="342"/>
      <c r="AI32" s="343">
        <f t="shared" si="41"/>
        <v>0</v>
      </c>
      <c r="AJ32" s="356">
        <f t="shared" si="42"/>
        <v>0</v>
      </c>
      <c r="AK32" s="342"/>
      <c r="AL32" s="343">
        <f t="shared" si="43"/>
        <v>0</v>
      </c>
      <c r="AM32" s="356">
        <f t="shared" si="44"/>
        <v>0</v>
      </c>
      <c r="AN32" s="357">
        <f t="shared" si="45"/>
        <v>0</v>
      </c>
      <c r="AO32" s="353"/>
    </row>
    <row r="33" spans="2:41" x14ac:dyDescent="0.2">
      <c r="B33" s="351"/>
      <c r="C33" s="341"/>
      <c r="D33" s="342"/>
      <c r="E33" s="343"/>
      <c r="F33" s="356">
        <f t="shared" si="46"/>
        <v>0</v>
      </c>
      <c r="G33" s="342"/>
      <c r="H33" s="343">
        <f t="shared" si="47"/>
        <v>0</v>
      </c>
      <c r="I33" s="356">
        <f t="shared" si="24"/>
        <v>0</v>
      </c>
      <c r="J33" s="342"/>
      <c r="K33" s="343">
        <f t="shared" si="25"/>
        <v>0</v>
      </c>
      <c r="L33" s="356">
        <f t="shared" si="26"/>
        <v>0</v>
      </c>
      <c r="M33" s="342"/>
      <c r="N33" s="343">
        <f t="shared" si="27"/>
        <v>0</v>
      </c>
      <c r="O33" s="356">
        <f t="shared" si="28"/>
        <v>0</v>
      </c>
      <c r="P33" s="342"/>
      <c r="Q33" s="343">
        <f t="shared" si="29"/>
        <v>0</v>
      </c>
      <c r="R33" s="356">
        <f t="shared" si="30"/>
        <v>0</v>
      </c>
      <c r="S33" s="342"/>
      <c r="T33" s="343">
        <f t="shared" si="31"/>
        <v>0</v>
      </c>
      <c r="U33" s="356">
        <f t="shared" si="32"/>
        <v>0</v>
      </c>
      <c r="V33" s="342"/>
      <c r="W33" s="343">
        <f t="shared" si="33"/>
        <v>0</v>
      </c>
      <c r="X33" s="356">
        <f t="shared" si="34"/>
        <v>0</v>
      </c>
      <c r="Y33" s="342"/>
      <c r="Z33" s="343">
        <f t="shared" si="35"/>
        <v>0</v>
      </c>
      <c r="AA33" s="356">
        <f t="shared" si="36"/>
        <v>0</v>
      </c>
      <c r="AB33" s="342"/>
      <c r="AC33" s="343">
        <f t="shared" si="37"/>
        <v>0</v>
      </c>
      <c r="AD33" s="356">
        <f t="shared" si="38"/>
        <v>0</v>
      </c>
      <c r="AE33" s="342"/>
      <c r="AF33" s="343">
        <f t="shared" si="39"/>
        <v>0</v>
      </c>
      <c r="AG33" s="356">
        <f t="shared" si="40"/>
        <v>0</v>
      </c>
      <c r="AH33" s="342"/>
      <c r="AI33" s="343">
        <f t="shared" si="41"/>
        <v>0</v>
      </c>
      <c r="AJ33" s="356">
        <f t="shared" si="42"/>
        <v>0</v>
      </c>
      <c r="AK33" s="342"/>
      <c r="AL33" s="343">
        <f t="shared" si="43"/>
        <v>0</v>
      </c>
      <c r="AM33" s="356">
        <f t="shared" si="44"/>
        <v>0</v>
      </c>
      <c r="AN33" s="357">
        <f t="shared" si="45"/>
        <v>0</v>
      </c>
      <c r="AO33" s="353"/>
    </row>
    <row r="34" spans="2:41" x14ac:dyDescent="0.2">
      <c r="B34" s="351"/>
      <c r="C34" s="341"/>
      <c r="D34" s="342"/>
      <c r="E34" s="343"/>
      <c r="F34" s="356">
        <f t="shared" si="46"/>
        <v>0</v>
      </c>
      <c r="G34" s="342"/>
      <c r="H34" s="343">
        <f t="shared" si="47"/>
        <v>0</v>
      </c>
      <c r="I34" s="356">
        <f t="shared" si="24"/>
        <v>0</v>
      </c>
      <c r="J34" s="342"/>
      <c r="K34" s="343">
        <f t="shared" si="25"/>
        <v>0</v>
      </c>
      <c r="L34" s="356">
        <f t="shared" si="26"/>
        <v>0</v>
      </c>
      <c r="M34" s="342"/>
      <c r="N34" s="343">
        <f t="shared" si="27"/>
        <v>0</v>
      </c>
      <c r="O34" s="356">
        <f t="shared" si="28"/>
        <v>0</v>
      </c>
      <c r="P34" s="342"/>
      <c r="Q34" s="343">
        <f t="shared" si="29"/>
        <v>0</v>
      </c>
      <c r="R34" s="356">
        <f t="shared" si="30"/>
        <v>0</v>
      </c>
      <c r="S34" s="342"/>
      <c r="T34" s="343">
        <f t="shared" si="31"/>
        <v>0</v>
      </c>
      <c r="U34" s="356">
        <f t="shared" si="32"/>
        <v>0</v>
      </c>
      <c r="V34" s="342"/>
      <c r="W34" s="343">
        <f t="shared" si="33"/>
        <v>0</v>
      </c>
      <c r="X34" s="356">
        <f t="shared" si="34"/>
        <v>0</v>
      </c>
      <c r="Y34" s="342"/>
      <c r="Z34" s="343">
        <f t="shared" si="35"/>
        <v>0</v>
      </c>
      <c r="AA34" s="356">
        <f t="shared" si="36"/>
        <v>0</v>
      </c>
      <c r="AB34" s="342"/>
      <c r="AC34" s="343">
        <f t="shared" si="37"/>
        <v>0</v>
      </c>
      <c r="AD34" s="356">
        <f t="shared" si="38"/>
        <v>0</v>
      </c>
      <c r="AE34" s="342"/>
      <c r="AF34" s="343">
        <f t="shared" si="39"/>
        <v>0</v>
      </c>
      <c r="AG34" s="356">
        <f t="shared" si="40"/>
        <v>0</v>
      </c>
      <c r="AH34" s="342"/>
      <c r="AI34" s="343">
        <f t="shared" si="41"/>
        <v>0</v>
      </c>
      <c r="AJ34" s="356">
        <f t="shared" si="42"/>
        <v>0</v>
      </c>
      <c r="AK34" s="342"/>
      <c r="AL34" s="343">
        <f t="shared" si="43"/>
        <v>0</v>
      </c>
      <c r="AM34" s="356">
        <f t="shared" si="44"/>
        <v>0</v>
      </c>
      <c r="AN34" s="357">
        <f t="shared" si="45"/>
        <v>0</v>
      </c>
      <c r="AO34" s="353"/>
    </row>
    <row r="35" spans="2:41" x14ac:dyDescent="0.2">
      <c r="B35" s="351"/>
      <c r="C35" s="358"/>
      <c r="D35" s="359">
        <f>SUM(D29:D34)</f>
        <v>1</v>
      </c>
      <c r="E35" s="360"/>
      <c r="F35" s="361"/>
      <c r="G35" s="359">
        <f>SUM(G29:G34)</f>
        <v>1</v>
      </c>
      <c r="H35" s="360"/>
      <c r="I35" s="361"/>
      <c r="J35" s="359">
        <f>SUM(J29:J34)</f>
        <v>1</v>
      </c>
      <c r="K35" s="360"/>
      <c r="L35" s="361"/>
      <c r="M35" s="359">
        <f>SUM(M29:M34)</f>
        <v>1</v>
      </c>
      <c r="N35" s="360"/>
      <c r="O35" s="361"/>
      <c r="P35" s="359">
        <f>SUM(P29:P34)</f>
        <v>1</v>
      </c>
      <c r="Q35" s="360"/>
      <c r="R35" s="361"/>
      <c r="S35" s="359">
        <f>SUM(S29:S34)</f>
        <v>1</v>
      </c>
      <c r="T35" s="360"/>
      <c r="U35" s="361"/>
      <c r="V35" s="359">
        <f>SUM(V29:V34)</f>
        <v>1</v>
      </c>
      <c r="W35" s="360"/>
      <c r="X35" s="361"/>
      <c r="Y35" s="359">
        <f>SUM(Y29:Y34)</f>
        <v>1</v>
      </c>
      <c r="Z35" s="360"/>
      <c r="AA35" s="361"/>
      <c r="AB35" s="359">
        <f>SUM(AB29:AB34)</f>
        <v>1</v>
      </c>
      <c r="AC35" s="360"/>
      <c r="AD35" s="361"/>
      <c r="AE35" s="359">
        <f>SUM(AE29:AE34)</f>
        <v>1</v>
      </c>
      <c r="AF35" s="360"/>
      <c r="AG35" s="361"/>
      <c r="AH35" s="359">
        <f>SUM(AH29:AH34)</f>
        <v>1</v>
      </c>
      <c r="AI35" s="360"/>
      <c r="AJ35" s="361"/>
      <c r="AK35" s="359">
        <f>SUM(AK29:AK34)</f>
        <v>1</v>
      </c>
      <c r="AL35" s="360"/>
      <c r="AM35" s="361"/>
      <c r="AN35" s="357"/>
      <c r="AO35" s="353"/>
    </row>
    <row r="36" spans="2:41" x14ac:dyDescent="0.2">
      <c r="B36" s="351"/>
      <c r="C36" s="358"/>
      <c r="D36" s="362"/>
      <c r="E36" s="363"/>
      <c r="F36" s="356"/>
      <c r="G36" s="362"/>
      <c r="H36" s="363"/>
      <c r="I36" s="356"/>
      <c r="J36" s="362"/>
      <c r="K36" s="363"/>
      <c r="L36" s="356"/>
      <c r="M36" s="362"/>
      <c r="N36" s="363"/>
      <c r="O36" s="356"/>
      <c r="P36" s="362"/>
      <c r="Q36" s="363"/>
      <c r="R36" s="356"/>
      <c r="S36" s="362"/>
      <c r="T36" s="363"/>
      <c r="U36" s="356"/>
      <c r="V36" s="362"/>
      <c r="W36" s="363"/>
      <c r="X36" s="356"/>
      <c r="Y36" s="362"/>
      <c r="Z36" s="363"/>
      <c r="AA36" s="356"/>
      <c r="AB36" s="362"/>
      <c r="AC36" s="363"/>
      <c r="AD36" s="356"/>
      <c r="AE36" s="362"/>
      <c r="AF36" s="363"/>
      <c r="AG36" s="356"/>
      <c r="AH36" s="362"/>
      <c r="AI36" s="363"/>
      <c r="AJ36" s="356"/>
      <c r="AK36" s="362"/>
      <c r="AL36" s="363"/>
      <c r="AM36" s="356"/>
      <c r="AN36" s="357"/>
      <c r="AO36" s="353"/>
    </row>
    <row r="37" spans="2:41" x14ac:dyDescent="0.2">
      <c r="B37" s="351"/>
      <c r="C37" s="364" t="s">
        <v>108</v>
      </c>
      <c r="D37" s="365"/>
      <c r="E37" s="365"/>
      <c r="F37" s="365">
        <f>SUM(F29:F34)</f>
        <v>1200000</v>
      </c>
      <c r="G37" s="365"/>
      <c r="H37" s="365"/>
      <c r="I37" s="365">
        <f>SUM(I29:I34)</f>
        <v>1200000</v>
      </c>
      <c r="J37" s="365"/>
      <c r="K37" s="365"/>
      <c r="L37" s="365">
        <f>SUM(L29:L34)</f>
        <v>1200000</v>
      </c>
      <c r="M37" s="365"/>
      <c r="N37" s="365"/>
      <c r="O37" s="365">
        <f>SUM(O29:O34)</f>
        <v>1200000</v>
      </c>
      <c r="P37" s="365"/>
      <c r="Q37" s="365"/>
      <c r="R37" s="365">
        <f>SUM(R29:R34)</f>
        <v>1200000</v>
      </c>
      <c r="S37" s="365"/>
      <c r="T37" s="365"/>
      <c r="U37" s="365">
        <f>SUM(U29:U34)</f>
        <v>1200000</v>
      </c>
      <c r="V37" s="365"/>
      <c r="W37" s="365"/>
      <c r="X37" s="365">
        <f>SUM(X29:X34)</f>
        <v>1200000</v>
      </c>
      <c r="Y37" s="365"/>
      <c r="Z37" s="365"/>
      <c r="AA37" s="365">
        <f>SUM(AA29:AA34)</f>
        <v>1200000</v>
      </c>
      <c r="AB37" s="365"/>
      <c r="AC37" s="365"/>
      <c r="AD37" s="365">
        <f>SUM(AD29:AD34)</f>
        <v>1200000</v>
      </c>
      <c r="AE37" s="365"/>
      <c r="AF37" s="365"/>
      <c r="AG37" s="365">
        <f>SUM(AG29:AG34)</f>
        <v>1200000</v>
      </c>
      <c r="AH37" s="365"/>
      <c r="AI37" s="365"/>
      <c r="AJ37" s="365">
        <f>SUM(AJ29:AJ34)</f>
        <v>1200000</v>
      </c>
      <c r="AK37" s="365"/>
      <c r="AL37" s="365"/>
      <c r="AM37" s="365">
        <f>SUM(AM29:AM34)</f>
        <v>1200000</v>
      </c>
      <c r="AN37" s="372">
        <f>SUM(AN29:AN34)</f>
        <v>14400000</v>
      </c>
      <c r="AO37" s="353"/>
    </row>
    <row r="38" spans="2:41" x14ac:dyDescent="0.2">
      <c r="B38" s="351"/>
      <c r="C38" s="367" t="s">
        <v>161</v>
      </c>
      <c r="D38" s="368">
        <f>SUMIF(E29:E34,"&lt;923000",D29:D34)</f>
        <v>0</v>
      </c>
      <c r="E38" s="369">
        <f>+E76</f>
        <v>0</v>
      </c>
      <c r="F38" s="356">
        <f>+E38*D38</f>
        <v>0</v>
      </c>
      <c r="G38" s="368">
        <f>SUMIF(H29:H34,"&lt;923000",G29:G34)</f>
        <v>0</v>
      </c>
      <c r="H38" s="369">
        <f>+H76</f>
        <v>0</v>
      </c>
      <c r="I38" s="356">
        <f>+H38*G38</f>
        <v>0</v>
      </c>
      <c r="J38" s="368">
        <f>SUMIF(K29:K34,"&lt;923000",J29:J34)</f>
        <v>0</v>
      </c>
      <c r="K38" s="369">
        <f>+K76</f>
        <v>0</v>
      </c>
      <c r="L38" s="356">
        <f>+K38*J38</f>
        <v>0</v>
      </c>
      <c r="M38" s="368">
        <f>SUMIF(N29:N34,"&lt;923000",M29:M34)</f>
        <v>0</v>
      </c>
      <c r="N38" s="369">
        <f>+N76</f>
        <v>0</v>
      </c>
      <c r="O38" s="356">
        <f>+N38*M38</f>
        <v>0</v>
      </c>
      <c r="P38" s="368">
        <f>SUMIF(Q29:Q34,"&lt;923000",P29:P34)</f>
        <v>0</v>
      </c>
      <c r="Q38" s="369">
        <f>+Q76</f>
        <v>0</v>
      </c>
      <c r="R38" s="356">
        <f>+Q38*P38</f>
        <v>0</v>
      </c>
      <c r="S38" s="368">
        <f>SUMIF(T29:T34,"&lt;923000",S29:S34)</f>
        <v>0</v>
      </c>
      <c r="T38" s="369">
        <f>+T76</f>
        <v>0</v>
      </c>
      <c r="U38" s="356">
        <f>+T38*S38</f>
        <v>0</v>
      </c>
      <c r="V38" s="368">
        <f>SUMIF(W29:W34,"&lt;923000",V29:V34)</f>
        <v>0</v>
      </c>
      <c r="W38" s="369">
        <f>+W76</f>
        <v>0</v>
      </c>
      <c r="X38" s="356">
        <f>+W38*V38</f>
        <v>0</v>
      </c>
      <c r="Y38" s="368">
        <f>SUMIF(Z29:Z34,"&lt;923000",Y29:Y34)</f>
        <v>0</v>
      </c>
      <c r="Z38" s="369">
        <f>+Z76</f>
        <v>0</v>
      </c>
      <c r="AA38" s="356">
        <f>+Z38*Y38</f>
        <v>0</v>
      </c>
      <c r="AB38" s="368">
        <f>SUMIF(AC29:AC34,"&lt;923000",AB29:AB34)</f>
        <v>0</v>
      </c>
      <c r="AC38" s="369">
        <f>+AC76</f>
        <v>0</v>
      </c>
      <c r="AD38" s="356">
        <f>+AC38*AB38</f>
        <v>0</v>
      </c>
      <c r="AE38" s="368">
        <f>SUMIF(AF29:AF34,"&lt;923000",AE29:AE34)</f>
        <v>0</v>
      </c>
      <c r="AF38" s="369">
        <f>+AF76</f>
        <v>0</v>
      </c>
      <c r="AG38" s="356">
        <f>+AF38*AE38</f>
        <v>0</v>
      </c>
      <c r="AH38" s="368">
        <f>SUMIF(AI29:AI34,"&lt;923000",AH29:AH34)</f>
        <v>0</v>
      </c>
      <c r="AI38" s="369">
        <f>+AI76</f>
        <v>0</v>
      </c>
      <c r="AJ38" s="356">
        <f>+AI38*AH38</f>
        <v>0</v>
      </c>
      <c r="AK38" s="368">
        <f>SUMIF(AL29:AL34,"&lt;923000",AK29:AK34)</f>
        <v>0</v>
      </c>
      <c r="AL38" s="369">
        <f>+AL76</f>
        <v>0</v>
      </c>
      <c r="AM38" s="356">
        <f>+AL38*AK38</f>
        <v>0</v>
      </c>
      <c r="AN38" s="357">
        <f>+AM38+AJ38+AG38+AD38+AA38+X38+U38+R38+O38+L38+I38+F38</f>
        <v>0</v>
      </c>
      <c r="AO38" s="353"/>
    </row>
    <row r="39" spans="2:41" x14ac:dyDescent="0.2">
      <c r="B39" s="351"/>
      <c r="C39" s="367" t="s">
        <v>169</v>
      </c>
      <c r="D39" s="370"/>
      <c r="E39" s="369"/>
      <c r="F39" s="370">
        <f>(F37+F38)*Supuestos!$D$25</f>
        <v>720000</v>
      </c>
      <c r="G39" s="370"/>
      <c r="H39" s="369"/>
      <c r="I39" s="370">
        <f>(I37+I38)*Supuestos!$D$25</f>
        <v>720000</v>
      </c>
      <c r="J39" s="370"/>
      <c r="K39" s="369"/>
      <c r="L39" s="370">
        <f>(L37+L38)*Supuestos!$D$25</f>
        <v>720000</v>
      </c>
      <c r="M39" s="370"/>
      <c r="N39" s="369"/>
      <c r="O39" s="370">
        <f>(O37+O38)*Supuestos!$D$25</f>
        <v>720000</v>
      </c>
      <c r="P39" s="370"/>
      <c r="Q39" s="369"/>
      <c r="R39" s="370">
        <f>(R37+R38)*Supuestos!$D$25</f>
        <v>720000</v>
      </c>
      <c r="S39" s="370"/>
      <c r="T39" s="369"/>
      <c r="U39" s="370">
        <f>(U37+U38)*Supuestos!$D$25</f>
        <v>720000</v>
      </c>
      <c r="V39" s="370"/>
      <c r="W39" s="369"/>
      <c r="X39" s="370">
        <f>(X37+X38)*Supuestos!$D$25</f>
        <v>720000</v>
      </c>
      <c r="Y39" s="370"/>
      <c r="Z39" s="369"/>
      <c r="AA39" s="370">
        <f>(AA37+AA38)*Supuestos!$D$25</f>
        <v>720000</v>
      </c>
      <c r="AB39" s="370"/>
      <c r="AC39" s="369"/>
      <c r="AD39" s="370">
        <f>(AD37+AD38)*Supuestos!$D$25</f>
        <v>720000</v>
      </c>
      <c r="AE39" s="370"/>
      <c r="AF39" s="369"/>
      <c r="AG39" s="370">
        <f>(AG37+AG38)*Supuestos!$D$25</f>
        <v>720000</v>
      </c>
      <c r="AH39" s="370"/>
      <c r="AI39" s="369"/>
      <c r="AJ39" s="370">
        <f>(AJ37+AJ38)*Supuestos!$D$25</f>
        <v>720000</v>
      </c>
      <c r="AK39" s="370"/>
      <c r="AL39" s="369"/>
      <c r="AM39" s="370">
        <f>(AM37+AM38)*Supuestos!$D$25</f>
        <v>720000</v>
      </c>
      <c r="AN39" s="357">
        <f>+AM39+AJ39+AG39+AD39+AA39+X39+U39+R39+O39+L39+I39+F39</f>
        <v>8640000</v>
      </c>
      <c r="AO39" s="353"/>
    </row>
    <row r="40" spans="2:41" x14ac:dyDescent="0.2">
      <c r="B40" s="351"/>
      <c r="C40" s="371" t="s">
        <v>248</v>
      </c>
      <c r="D40" s="372"/>
      <c r="E40" s="372"/>
      <c r="F40" s="372">
        <f>SUM(F37:F39)</f>
        <v>1920000</v>
      </c>
      <c r="G40" s="372"/>
      <c r="H40" s="372"/>
      <c r="I40" s="372">
        <f>SUM(I37:I39)</f>
        <v>1920000</v>
      </c>
      <c r="J40" s="372"/>
      <c r="K40" s="372"/>
      <c r="L40" s="372">
        <f>SUM(L37:L39)</f>
        <v>1920000</v>
      </c>
      <c r="M40" s="372"/>
      <c r="N40" s="372"/>
      <c r="O40" s="372">
        <f>SUM(O37:O39)</f>
        <v>1920000</v>
      </c>
      <c r="P40" s="372"/>
      <c r="Q40" s="372"/>
      <c r="R40" s="372">
        <f>SUM(R37:R39)</f>
        <v>1920000</v>
      </c>
      <c r="S40" s="372"/>
      <c r="T40" s="372"/>
      <c r="U40" s="372">
        <f>SUM(U37:U39)</f>
        <v>1920000</v>
      </c>
      <c r="V40" s="372"/>
      <c r="W40" s="372"/>
      <c r="X40" s="372">
        <f>SUM(X37:X39)</f>
        <v>1920000</v>
      </c>
      <c r="Y40" s="372"/>
      <c r="Z40" s="372"/>
      <c r="AA40" s="372">
        <f>SUM(AA37:AA39)</f>
        <v>1920000</v>
      </c>
      <c r="AB40" s="372"/>
      <c r="AC40" s="372"/>
      <c r="AD40" s="372">
        <f>SUM(AD37:AD39)</f>
        <v>1920000</v>
      </c>
      <c r="AE40" s="372"/>
      <c r="AF40" s="372"/>
      <c r="AG40" s="372">
        <f>SUM(AG37:AG39)</f>
        <v>1920000</v>
      </c>
      <c r="AH40" s="372"/>
      <c r="AI40" s="372"/>
      <c r="AJ40" s="372">
        <f>SUM(AJ37:AJ39)</f>
        <v>1920000</v>
      </c>
      <c r="AK40" s="372"/>
      <c r="AL40" s="372"/>
      <c r="AM40" s="372">
        <f>SUM(AM37:AM39)</f>
        <v>1920000</v>
      </c>
      <c r="AN40" s="372">
        <f>SUM(AN37:AN39)</f>
        <v>23040000</v>
      </c>
      <c r="AO40" s="353"/>
    </row>
    <row r="41" spans="2:41" ht="13.5" thickBot="1" x14ac:dyDescent="0.25">
      <c r="B41" s="376"/>
      <c r="C41" s="377"/>
      <c r="D41" s="378"/>
      <c r="E41" s="378"/>
      <c r="F41" s="378"/>
      <c r="G41" s="378"/>
      <c r="H41" s="378"/>
      <c r="I41" s="378"/>
      <c r="J41" s="378"/>
      <c r="K41" s="378"/>
      <c r="L41" s="378"/>
      <c r="M41" s="378"/>
      <c r="N41" s="378"/>
      <c r="O41" s="378"/>
      <c r="P41" s="378"/>
      <c r="Q41" s="378"/>
      <c r="R41" s="378"/>
      <c r="S41" s="378"/>
      <c r="T41" s="378"/>
      <c r="U41" s="378"/>
      <c r="V41" s="378"/>
      <c r="W41" s="378"/>
      <c r="X41" s="378"/>
      <c r="Y41" s="378"/>
      <c r="Z41" s="378"/>
      <c r="AA41" s="378"/>
      <c r="AB41" s="378"/>
      <c r="AC41" s="378"/>
      <c r="AD41" s="378"/>
      <c r="AE41" s="378"/>
      <c r="AF41" s="378"/>
      <c r="AG41" s="378"/>
      <c r="AH41" s="378"/>
      <c r="AI41" s="378"/>
      <c r="AJ41" s="378"/>
      <c r="AK41" s="378"/>
      <c r="AL41" s="378"/>
      <c r="AM41" s="378"/>
      <c r="AN41" s="379"/>
      <c r="AO41" s="380"/>
    </row>
    <row r="42" spans="2:41" s="19" customFormat="1" x14ac:dyDescent="0.2">
      <c r="B42" s="381"/>
      <c r="C42" s="373"/>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c r="AM42" s="374"/>
      <c r="AN42" s="381"/>
      <c r="AO42" s="381"/>
    </row>
    <row r="43" spans="2:41" s="19" customFormat="1" x14ac:dyDescent="0.2">
      <c r="B43" s="381"/>
      <c r="C43" s="373"/>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4"/>
      <c r="AK43" s="374"/>
      <c r="AL43" s="374"/>
      <c r="AM43" s="374"/>
      <c r="AN43" s="381"/>
      <c r="AO43" s="381"/>
    </row>
    <row r="44" spans="2:41" s="19" customFormat="1" ht="13.5" thickBot="1" x14ac:dyDescent="0.25">
      <c r="B44" s="382"/>
      <c r="C44" s="373"/>
      <c r="D44" s="374"/>
      <c r="E44" s="374"/>
      <c r="F44" s="374"/>
      <c r="G44" s="374"/>
      <c r="H44" s="374"/>
      <c r="I44" s="374"/>
      <c r="J44" s="374"/>
      <c r="K44" s="374"/>
      <c r="L44" s="374"/>
      <c r="M44" s="374"/>
      <c r="N44" s="374"/>
      <c r="O44" s="374"/>
      <c r="P44" s="374"/>
      <c r="Q44" s="374"/>
      <c r="R44" s="374"/>
      <c r="S44" s="374"/>
      <c r="T44" s="374"/>
      <c r="U44" s="374"/>
      <c r="V44" s="374"/>
      <c r="W44" s="374"/>
      <c r="X44" s="374"/>
      <c r="Y44" s="374"/>
      <c r="Z44" s="374"/>
      <c r="AA44" s="374"/>
      <c r="AB44" s="374"/>
      <c r="AC44" s="374"/>
      <c r="AD44" s="374"/>
      <c r="AE44" s="374"/>
      <c r="AF44" s="374"/>
      <c r="AG44" s="374"/>
      <c r="AH44" s="374"/>
      <c r="AI44" s="374"/>
      <c r="AJ44" s="374"/>
      <c r="AK44" s="374"/>
      <c r="AL44" s="374"/>
      <c r="AM44" s="374"/>
      <c r="AN44" s="382"/>
      <c r="AO44" s="382"/>
    </row>
    <row r="45" spans="2:41" x14ac:dyDescent="0.2">
      <c r="B45" s="348"/>
      <c r="C45" s="383"/>
      <c r="D45" s="384"/>
      <c r="E45" s="384"/>
      <c r="F45" s="384"/>
      <c r="G45" s="384"/>
      <c r="H45" s="384"/>
      <c r="I45" s="384"/>
      <c r="J45" s="384"/>
      <c r="K45" s="384"/>
      <c r="L45" s="384"/>
      <c r="M45" s="384"/>
      <c r="N45" s="384"/>
      <c r="O45" s="384"/>
      <c r="P45" s="384"/>
      <c r="Q45" s="384"/>
      <c r="R45" s="384"/>
      <c r="S45" s="384"/>
      <c r="T45" s="384"/>
      <c r="U45" s="384"/>
      <c r="V45" s="384"/>
      <c r="W45" s="384"/>
      <c r="X45" s="384"/>
      <c r="Y45" s="384"/>
      <c r="Z45" s="384"/>
      <c r="AA45" s="384"/>
      <c r="AB45" s="384"/>
      <c r="AC45" s="384"/>
      <c r="AD45" s="384"/>
      <c r="AE45" s="384"/>
      <c r="AF45" s="384"/>
      <c r="AG45" s="384"/>
      <c r="AH45" s="384"/>
      <c r="AI45" s="384"/>
      <c r="AJ45" s="384"/>
      <c r="AK45" s="384"/>
      <c r="AL45" s="384"/>
      <c r="AM45" s="384"/>
      <c r="AN45" s="349"/>
      <c r="AO45" s="350"/>
    </row>
    <row r="46" spans="2:41" ht="25.5" x14ac:dyDescent="0.2">
      <c r="B46" s="351"/>
      <c r="C46" s="354" t="s">
        <v>106</v>
      </c>
      <c r="D46" s="354" t="s">
        <v>35</v>
      </c>
      <c r="E46" s="354" t="s">
        <v>36</v>
      </c>
      <c r="F46" s="354" t="s">
        <v>245</v>
      </c>
      <c r="G46" s="354" t="s">
        <v>35</v>
      </c>
      <c r="H46" s="354" t="s">
        <v>36</v>
      </c>
      <c r="I46" s="354" t="s">
        <v>245</v>
      </c>
      <c r="J46" s="354" t="s">
        <v>35</v>
      </c>
      <c r="K46" s="354" t="s">
        <v>36</v>
      </c>
      <c r="L46" s="354" t="s">
        <v>245</v>
      </c>
      <c r="M46" s="354" t="s">
        <v>35</v>
      </c>
      <c r="N46" s="354" t="s">
        <v>36</v>
      </c>
      <c r="O46" s="354" t="s">
        <v>245</v>
      </c>
      <c r="P46" s="354" t="s">
        <v>35</v>
      </c>
      <c r="Q46" s="354" t="s">
        <v>36</v>
      </c>
      <c r="R46" s="354" t="s">
        <v>245</v>
      </c>
      <c r="S46" s="354" t="s">
        <v>35</v>
      </c>
      <c r="T46" s="354" t="s">
        <v>36</v>
      </c>
      <c r="U46" s="354" t="s">
        <v>245</v>
      </c>
      <c r="V46" s="354" t="s">
        <v>35</v>
      </c>
      <c r="W46" s="354" t="s">
        <v>36</v>
      </c>
      <c r="X46" s="354" t="s">
        <v>245</v>
      </c>
      <c r="Y46" s="354" t="s">
        <v>35</v>
      </c>
      <c r="Z46" s="354" t="s">
        <v>36</v>
      </c>
      <c r="AA46" s="354" t="s">
        <v>245</v>
      </c>
      <c r="AB46" s="354" t="s">
        <v>35</v>
      </c>
      <c r="AC46" s="354" t="s">
        <v>36</v>
      </c>
      <c r="AD46" s="354" t="s">
        <v>245</v>
      </c>
      <c r="AE46" s="354" t="s">
        <v>35</v>
      </c>
      <c r="AF46" s="354" t="s">
        <v>36</v>
      </c>
      <c r="AG46" s="354" t="s">
        <v>245</v>
      </c>
      <c r="AH46" s="354" t="s">
        <v>35</v>
      </c>
      <c r="AI46" s="354" t="s">
        <v>36</v>
      </c>
      <c r="AJ46" s="354" t="s">
        <v>37</v>
      </c>
      <c r="AK46" s="354" t="s">
        <v>35</v>
      </c>
      <c r="AL46" s="354" t="s">
        <v>36</v>
      </c>
      <c r="AM46" s="354" t="s">
        <v>245</v>
      </c>
      <c r="AN46" s="778" t="s">
        <v>247</v>
      </c>
      <c r="AO46" s="353"/>
    </row>
    <row r="47" spans="2:41" ht="12.75" customHeight="1" x14ac:dyDescent="0.2">
      <c r="B47" s="351"/>
      <c r="C47" s="354" t="s">
        <v>38</v>
      </c>
      <c r="D47" s="779" t="s">
        <v>233</v>
      </c>
      <c r="E47" s="779"/>
      <c r="F47" s="779"/>
      <c r="G47" s="779" t="s">
        <v>234</v>
      </c>
      <c r="H47" s="779"/>
      <c r="I47" s="779"/>
      <c r="J47" s="779" t="s">
        <v>235</v>
      </c>
      <c r="K47" s="779"/>
      <c r="L47" s="779"/>
      <c r="M47" s="779" t="s">
        <v>236</v>
      </c>
      <c r="N47" s="779"/>
      <c r="O47" s="779"/>
      <c r="P47" s="779" t="s">
        <v>237</v>
      </c>
      <c r="Q47" s="779"/>
      <c r="R47" s="779"/>
      <c r="S47" s="779" t="s">
        <v>238</v>
      </c>
      <c r="T47" s="779"/>
      <c r="U47" s="779"/>
      <c r="V47" s="779" t="s">
        <v>239</v>
      </c>
      <c r="W47" s="779"/>
      <c r="X47" s="779"/>
      <c r="Y47" s="779" t="s">
        <v>240</v>
      </c>
      <c r="Z47" s="779"/>
      <c r="AA47" s="779"/>
      <c r="AB47" s="779" t="s">
        <v>241</v>
      </c>
      <c r="AC47" s="779"/>
      <c r="AD47" s="779"/>
      <c r="AE47" s="779" t="s">
        <v>242</v>
      </c>
      <c r="AF47" s="779"/>
      <c r="AG47" s="779"/>
      <c r="AH47" s="779" t="s">
        <v>243</v>
      </c>
      <c r="AI47" s="779"/>
      <c r="AJ47" s="779"/>
      <c r="AK47" s="779" t="s">
        <v>244</v>
      </c>
      <c r="AL47" s="779"/>
      <c r="AM47" s="779"/>
      <c r="AN47" s="778"/>
      <c r="AO47" s="353"/>
    </row>
    <row r="48" spans="2:41" x14ac:dyDescent="0.2">
      <c r="B48" s="351"/>
      <c r="C48" s="341" t="s">
        <v>460</v>
      </c>
      <c r="D48" s="342">
        <v>1</v>
      </c>
      <c r="E48" s="343">
        <v>2464000</v>
      </c>
      <c r="F48" s="356">
        <f t="shared" ref="F48:F53" si="48">D48*E48</f>
        <v>2464000</v>
      </c>
      <c r="G48" s="342">
        <v>1</v>
      </c>
      <c r="H48" s="343">
        <f t="shared" ref="H48:H53" si="49">E48</f>
        <v>2464000</v>
      </c>
      <c r="I48" s="356">
        <f t="shared" ref="I48:I53" si="50">G48*H48</f>
        <v>2464000</v>
      </c>
      <c r="J48" s="342">
        <v>1</v>
      </c>
      <c r="K48" s="343">
        <f t="shared" ref="K48:K53" si="51">H48</f>
        <v>2464000</v>
      </c>
      <c r="L48" s="356">
        <f t="shared" ref="L48:L53" si="52">J48*K48</f>
        <v>2464000</v>
      </c>
      <c r="M48" s="342">
        <v>1</v>
      </c>
      <c r="N48" s="343">
        <f t="shared" ref="N48:N53" si="53">K48</f>
        <v>2464000</v>
      </c>
      <c r="O48" s="356">
        <f t="shared" ref="O48:O53" si="54">M48*N48</f>
        <v>2464000</v>
      </c>
      <c r="P48" s="342">
        <v>1</v>
      </c>
      <c r="Q48" s="343">
        <f t="shared" ref="Q48:Q53" si="55">N48</f>
        <v>2464000</v>
      </c>
      <c r="R48" s="356">
        <f t="shared" ref="R48:R53" si="56">P48*Q48</f>
        <v>2464000</v>
      </c>
      <c r="S48" s="342">
        <v>1</v>
      </c>
      <c r="T48" s="343">
        <f t="shared" ref="T48:T53" si="57">Q48</f>
        <v>2464000</v>
      </c>
      <c r="U48" s="356">
        <f t="shared" ref="U48:U53" si="58">S48*T48</f>
        <v>2464000</v>
      </c>
      <c r="V48" s="342">
        <v>1</v>
      </c>
      <c r="W48" s="343">
        <f t="shared" ref="W48:W53" si="59">T48</f>
        <v>2464000</v>
      </c>
      <c r="X48" s="356">
        <f t="shared" ref="X48:X53" si="60">V48*W48</f>
        <v>2464000</v>
      </c>
      <c r="Y48" s="342">
        <v>1</v>
      </c>
      <c r="Z48" s="343">
        <f t="shared" ref="Z48:Z53" si="61">W48</f>
        <v>2464000</v>
      </c>
      <c r="AA48" s="356">
        <f t="shared" ref="AA48:AA53" si="62">Y48*Z48</f>
        <v>2464000</v>
      </c>
      <c r="AB48" s="342">
        <v>1</v>
      </c>
      <c r="AC48" s="343">
        <f t="shared" ref="AC48:AC53" si="63">Z48</f>
        <v>2464000</v>
      </c>
      <c r="AD48" s="356">
        <f t="shared" ref="AD48:AD53" si="64">AB48*AC48</f>
        <v>2464000</v>
      </c>
      <c r="AE48" s="342">
        <v>1</v>
      </c>
      <c r="AF48" s="343">
        <f t="shared" ref="AF48:AF53" si="65">AC48</f>
        <v>2464000</v>
      </c>
      <c r="AG48" s="356">
        <f t="shared" ref="AG48:AG53" si="66">AE48*AF48</f>
        <v>2464000</v>
      </c>
      <c r="AH48" s="342">
        <v>1</v>
      </c>
      <c r="AI48" s="343">
        <f t="shared" ref="AI48:AI53" si="67">AF48</f>
        <v>2464000</v>
      </c>
      <c r="AJ48" s="356">
        <f t="shared" ref="AJ48:AJ53" si="68">AH48*AI48</f>
        <v>2464000</v>
      </c>
      <c r="AK48" s="342">
        <v>1</v>
      </c>
      <c r="AL48" s="343">
        <f t="shared" ref="AL48:AL53" si="69">AI48</f>
        <v>2464000</v>
      </c>
      <c r="AM48" s="356">
        <f t="shared" ref="AM48:AM53" si="70">AK48*AL48</f>
        <v>2464000</v>
      </c>
      <c r="AN48" s="357">
        <f t="shared" ref="AN48:AN53" si="71">+AM48+AJ48+AG48+AD48+AA48+X48+U48+R48+O48+L48+I48+F48</f>
        <v>29568000</v>
      </c>
      <c r="AO48" s="353"/>
    </row>
    <row r="49" spans="1:41" x14ac:dyDescent="0.2">
      <c r="B49" s="351"/>
      <c r="C49" s="341"/>
      <c r="D49" s="342"/>
      <c r="E49" s="343"/>
      <c r="F49" s="356">
        <f t="shared" si="48"/>
        <v>0</v>
      </c>
      <c r="G49" s="342"/>
      <c r="H49" s="343">
        <f t="shared" si="49"/>
        <v>0</v>
      </c>
      <c r="I49" s="356">
        <f t="shared" si="50"/>
        <v>0</v>
      </c>
      <c r="J49" s="342"/>
      <c r="K49" s="343">
        <f t="shared" si="51"/>
        <v>0</v>
      </c>
      <c r="L49" s="356">
        <f t="shared" si="52"/>
        <v>0</v>
      </c>
      <c r="M49" s="342"/>
      <c r="N49" s="343">
        <f t="shared" si="53"/>
        <v>0</v>
      </c>
      <c r="O49" s="356">
        <f t="shared" si="54"/>
        <v>0</v>
      </c>
      <c r="P49" s="342"/>
      <c r="Q49" s="343">
        <f t="shared" si="55"/>
        <v>0</v>
      </c>
      <c r="R49" s="356">
        <f t="shared" si="56"/>
        <v>0</v>
      </c>
      <c r="S49" s="342"/>
      <c r="T49" s="343">
        <f t="shared" si="57"/>
        <v>0</v>
      </c>
      <c r="U49" s="356">
        <f t="shared" si="58"/>
        <v>0</v>
      </c>
      <c r="V49" s="342"/>
      <c r="W49" s="343">
        <f t="shared" si="59"/>
        <v>0</v>
      </c>
      <c r="X49" s="356">
        <f t="shared" si="60"/>
        <v>0</v>
      </c>
      <c r="Y49" s="342"/>
      <c r="Z49" s="343">
        <f t="shared" si="61"/>
        <v>0</v>
      </c>
      <c r="AA49" s="356">
        <f t="shared" si="62"/>
        <v>0</v>
      </c>
      <c r="AB49" s="342"/>
      <c r="AC49" s="343">
        <f t="shared" si="63"/>
        <v>0</v>
      </c>
      <c r="AD49" s="356">
        <f t="shared" si="64"/>
        <v>0</v>
      </c>
      <c r="AE49" s="342"/>
      <c r="AF49" s="343">
        <f t="shared" si="65"/>
        <v>0</v>
      </c>
      <c r="AG49" s="356">
        <f t="shared" si="66"/>
        <v>0</v>
      </c>
      <c r="AH49" s="342"/>
      <c r="AI49" s="343">
        <f t="shared" si="67"/>
        <v>0</v>
      </c>
      <c r="AJ49" s="356">
        <f t="shared" si="68"/>
        <v>0</v>
      </c>
      <c r="AK49" s="342"/>
      <c r="AL49" s="343">
        <f t="shared" si="69"/>
        <v>0</v>
      </c>
      <c r="AM49" s="356">
        <f t="shared" si="70"/>
        <v>0</v>
      </c>
      <c r="AN49" s="357">
        <f t="shared" si="71"/>
        <v>0</v>
      </c>
      <c r="AO49" s="353"/>
    </row>
    <row r="50" spans="1:41" x14ac:dyDescent="0.2">
      <c r="B50" s="351"/>
      <c r="C50" s="341"/>
      <c r="D50" s="342"/>
      <c r="E50" s="343"/>
      <c r="F50" s="356">
        <f t="shared" si="48"/>
        <v>0</v>
      </c>
      <c r="G50" s="342"/>
      <c r="H50" s="343">
        <f t="shared" si="49"/>
        <v>0</v>
      </c>
      <c r="I50" s="356">
        <f t="shared" si="50"/>
        <v>0</v>
      </c>
      <c r="J50" s="342"/>
      <c r="K50" s="343">
        <f t="shared" si="51"/>
        <v>0</v>
      </c>
      <c r="L50" s="356">
        <f t="shared" si="52"/>
        <v>0</v>
      </c>
      <c r="M50" s="342"/>
      <c r="N50" s="343">
        <f t="shared" si="53"/>
        <v>0</v>
      </c>
      <c r="O50" s="356">
        <f t="shared" si="54"/>
        <v>0</v>
      </c>
      <c r="P50" s="342"/>
      <c r="Q50" s="343">
        <f t="shared" si="55"/>
        <v>0</v>
      </c>
      <c r="R50" s="356">
        <f t="shared" si="56"/>
        <v>0</v>
      </c>
      <c r="S50" s="342"/>
      <c r="T50" s="343">
        <f t="shared" si="57"/>
        <v>0</v>
      </c>
      <c r="U50" s="356">
        <f t="shared" si="58"/>
        <v>0</v>
      </c>
      <c r="V50" s="342"/>
      <c r="W50" s="343">
        <f t="shared" si="59"/>
        <v>0</v>
      </c>
      <c r="X50" s="356">
        <f t="shared" si="60"/>
        <v>0</v>
      </c>
      <c r="Y50" s="342"/>
      <c r="Z50" s="343">
        <f t="shared" si="61"/>
        <v>0</v>
      </c>
      <c r="AA50" s="356">
        <f t="shared" si="62"/>
        <v>0</v>
      </c>
      <c r="AB50" s="342"/>
      <c r="AC50" s="343">
        <f t="shared" si="63"/>
        <v>0</v>
      </c>
      <c r="AD50" s="356">
        <f t="shared" si="64"/>
        <v>0</v>
      </c>
      <c r="AE50" s="342"/>
      <c r="AF50" s="343">
        <f t="shared" si="65"/>
        <v>0</v>
      </c>
      <c r="AG50" s="356">
        <f t="shared" si="66"/>
        <v>0</v>
      </c>
      <c r="AH50" s="342"/>
      <c r="AI50" s="343">
        <f t="shared" si="67"/>
        <v>0</v>
      </c>
      <c r="AJ50" s="356">
        <f t="shared" si="68"/>
        <v>0</v>
      </c>
      <c r="AK50" s="342"/>
      <c r="AL50" s="343">
        <f t="shared" si="69"/>
        <v>0</v>
      </c>
      <c r="AM50" s="356">
        <f t="shared" si="70"/>
        <v>0</v>
      </c>
      <c r="AN50" s="357">
        <f t="shared" si="71"/>
        <v>0</v>
      </c>
      <c r="AO50" s="353"/>
    </row>
    <row r="51" spans="1:41" x14ac:dyDescent="0.2">
      <c r="A51" s="4" t="s">
        <v>376</v>
      </c>
      <c r="B51" s="351"/>
      <c r="C51" s="341"/>
      <c r="D51" s="342"/>
      <c r="E51" s="343"/>
      <c r="F51" s="356">
        <f t="shared" si="48"/>
        <v>0</v>
      </c>
      <c r="G51" s="342"/>
      <c r="H51" s="343">
        <f t="shared" si="49"/>
        <v>0</v>
      </c>
      <c r="I51" s="356">
        <f t="shared" si="50"/>
        <v>0</v>
      </c>
      <c r="J51" s="342"/>
      <c r="K51" s="343">
        <f t="shared" si="51"/>
        <v>0</v>
      </c>
      <c r="L51" s="356">
        <f t="shared" si="52"/>
        <v>0</v>
      </c>
      <c r="M51" s="342"/>
      <c r="N51" s="343">
        <f t="shared" si="53"/>
        <v>0</v>
      </c>
      <c r="O51" s="356">
        <f t="shared" si="54"/>
        <v>0</v>
      </c>
      <c r="P51" s="342"/>
      <c r="Q51" s="343">
        <f t="shared" si="55"/>
        <v>0</v>
      </c>
      <c r="R51" s="356">
        <f t="shared" si="56"/>
        <v>0</v>
      </c>
      <c r="S51" s="342"/>
      <c r="T51" s="343">
        <f t="shared" si="57"/>
        <v>0</v>
      </c>
      <c r="U51" s="356">
        <f t="shared" si="58"/>
        <v>0</v>
      </c>
      <c r="V51" s="342"/>
      <c r="W51" s="343">
        <f t="shared" si="59"/>
        <v>0</v>
      </c>
      <c r="X51" s="356">
        <f t="shared" si="60"/>
        <v>0</v>
      </c>
      <c r="Y51" s="342"/>
      <c r="Z51" s="343">
        <f t="shared" si="61"/>
        <v>0</v>
      </c>
      <c r="AA51" s="356">
        <f t="shared" si="62"/>
        <v>0</v>
      </c>
      <c r="AB51" s="342"/>
      <c r="AC51" s="343">
        <f t="shared" si="63"/>
        <v>0</v>
      </c>
      <c r="AD51" s="356">
        <f t="shared" si="64"/>
        <v>0</v>
      </c>
      <c r="AE51" s="342"/>
      <c r="AF51" s="343">
        <f t="shared" si="65"/>
        <v>0</v>
      </c>
      <c r="AG51" s="356">
        <f t="shared" si="66"/>
        <v>0</v>
      </c>
      <c r="AH51" s="342"/>
      <c r="AI51" s="343">
        <f t="shared" si="67"/>
        <v>0</v>
      </c>
      <c r="AJ51" s="356">
        <f t="shared" si="68"/>
        <v>0</v>
      </c>
      <c r="AK51" s="342"/>
      <c r="AL51" s="343">
        <f t="shared" si="69"/>
        <v>0</v>
      </c>
      <c r="AM51" s="356">
        <f t="shared" si="70"/>
        <v>0</v>
      </c>
      <c r="AN51" s="357">
        <f t="shared" si="71"/>
        <v>0</v>
      </c>
      <c r="AO51" s="353"/>
    </row>
    <row r="52" spans="1:41" x14ac:dyDescent="0.2">
      <c r="B52" s="351"/>
      <c r="C52" s="341"/>
      <c r="D52" s="342"/>
      <c r="E52" s="343"/>
      <c r="F52" s="356">
        <f t="shared" si="48"/>
        <v>0</v>
      </c>
      <c r="G52" s="342"/>
      <c r="H52" s="343">
        <f t="shared" si="49"/>
        <v>0</v>
      </c>
      <c r="I52" s="356">
        <f t="shared" si="50"/>
        <v>0</v>
      </c>
      <c r="J52" s="342"/>
      <c r="K52" s="343">
        <f t="shared" si="51"/>
        <v>0</v>
      </c>
      <c r="L52" s="356">
        <f t="shared" si="52"/>
        <v>0</v>
      </c>
      <c r="M52" s="342"/>
      <c r="N52" s="343">
        <f t="shared" si="53"/>
        <v>0</v>
      </c>
      <c r="O52" s="356">
        <f t="shared" si="54"/>
        <v>0</v>
      </c>
      <c r="P52" s="342"/>
      <c r="Q52" s="343">
        <f t="shared" si="55"/>
        <v>0</v>
      </c>
      <c r="R52" s="356">
        <f t="shared" si="56"/>
        <v>0</v>
      </c>
      <c r="S52" s="342"/>
      <c r="T52" s="343">
        <f t="shared" si="57"/>
        <v>0</v>
      </c>
      <c r="U52" s="356">
        <f t="shared" si="58"/>
        <v>0</v>
      </c>
      <c r="V52" s="342"/>
      <c r="W52" s="343">
        <f t="shared" si="59"/>
        <v>0</v>
      </c>
      <c r="X52" s="356">
        <f t="shared" si="60"/>
        <v>0</v>
      </c>
      <c r="Y52" s="342"/>
      <c r="Z52" s="343">
        <f t="shared" si="61"/>
        <v>0</v>
      </c>
      <c r="AA52" s="356">
        <f t="shared" si="62"/>
        <v>0</v>
      </c>
      <c r="AB52" s="342"/>
      <c r="AC52" s="343">
        <f t="shared" si="63"/>
        <v>0</v>
      </c>
      <c r="AD52" s="356">
        <f t="shared" si="64"/>
        <v>0</v>
      </c>
      <c r="AE52" s="342"/>
      <c r="AF52" s="343">
        <f t="shared" si="65"/>
        <v>0</v>
      </c>
      <c r="AG52" s="356">
        <f t="shared" si="66"/>
        <v>0</v>
      </c>
      <c r="AH52" s="342"/>
      <c r="AI52" s="343">
        <f t="shared" si="67"/>
        <v>0</v>
      </c>
      <c r="AJ52" s="356">
        <f t="shared" si="68"/>
        <v>0</v>
      </c>
      <c r="AK52" s="342"/>
      <c r="AL52" s="343">
        <f t="shared" si="69"/>
        <v>0</v>
      </c>
      <c r="AM52" s="356">
        <f t="shared" si="70"/>
        <v>0</v>
      </c>
      <c r="AN52" s="357">
        <f t="shared" si="71"/>
        <v>0</v>
      </c>
      <c r="AO52" s="353"/>
    </row>
    <row r="53" spans="1:41" x14ac:dyDescent="0.2">
      <c r="B53" s="351"/>
      <c r="C53" s="341"/>
      <c r="D53" s="342"/>
      <c r="E53" s="343"/>
      <c r="F53" s="356">
        <f t="shared" si="48"/>
        <v>0</v>
      </c>
      <c r="G53" s="342"/>
      <c r="H53" s="343">
        <f t="shared" si="49"/>
        <v>0</v>
      </c>
      <c r="I53" s="356">
        <f t="shared" si="50"/>
        <v>0</v>
      </c>
      <c r="J53" s="342"/>
      <c r="K53" s="343">
        <f t="shared" si="51"/>
        <v>0</v>
      </c>
      <c r="L53" s="356">
        <f t="shared" si="52"/>
        <v>0</v>
      </c>
      <c r="M53" s="342"/>
      <c r="N53" s="343">
        <f t="shared" si="53"/>
        <v>0</v>
      </c>
      <c r="O53" s="356">
        <f t="shared" si="54"/>
        <v>0</v>
      </c>
      <c r="P53" s="342"/>
      <c r="Q53" s="343">
        <f t="shared" si="55"/>
        <v>0</v>
      </c>
      <c r="R53" s="356">
        <f t="shared" si="56"/>
        <v>0</v>
      </c>
      <c r="S53" s="342"/>
      <c r="T53" s="343">
        <f t="shared" si="57"/>
        <v>0</v>
      </c>
      <c r="U53" s="356">
        <f t="shared" si="58"/>
        <v>0</v>
      </c>
      <c r="V53" s="342"/>
      <c r="W53" s="343">
        <f t="shared" si="59"/>
        <v>0</v>
      </c>
      <c r="X53" s="356">
        <f t="shared" si="60"/>
        <v>0</v>
      </c>
      <c r="Y53" s="342"/>
      <c r="Z53" s="343">
        <f t="shared" si="61"/>
        <v>0</v>
      </c>
      <c r="AA53" s="356">
        <f t="shared" si="62"/>
        <v>0</v>
      </c>
      <c r="AB53" s="342"/>
      <c r="AC53" s="343">
        <f t="shared" si="63"/>
        <v>0</v>
      </c>
      <c r="AD53" s="356">
        <f t="shared" si="64"/>
        <v>0</v>
      </c>
      <c r="AE53" s="342"/>
      <c r="AF53" s="343">
        <f t="shared" si="65"/>
        <v>0</v>
      </c>
      <c r="AG53" s="356">
        <f t="shared" si="66"/>
        <v>0</v>
      </c>
      <c r="AH53" s="342"/>
      <c r="AI53" s="343">
        <f t="shared" si="67"/>
        <v>0</v>
      </c>
      <c r="AJ53" s="356">
        <f t="shared" si="68"/>
        <v>0</v>
      </c>
      <c r="AK53" s="342"/>
      <c r="AL53" s="343">
        <f t="shared" si="69"/>
        <v>0</v>
      </c>
      <c r="AM53" s="356">
        <f t="shared" si="70"/>
        <v>0</v>
      </c>
      <c r="AN53" s="357">
        <f t="shared" si="71"/>
        <v>0</v>
      </c>
      <c r="AO53" s="353"/>
    </row>
    <row r="54" spans="1:41" x14ac:dyDescent="0.2">
      <c r="B54" s="351"/>
      <c r="C54" s="358"/>
      <c r="D54" s="359">
        <f>SUM(D48:D53)</f>
        <v>1</v>
      </c>
      <c r="E54" s="360"/>
      <c r="F54" s="361"/>
      <c r="G54" s="359">
        <f>SUM(G48:G53)</f>
        <v>1</v>
      </c>
      <c r="H54" s="360"/>
      <c r="I54" s="361"/>
      <c r="J54" s="359">
        <f>SUM(J48:J53)</f>
        <v>1</v>
      </c>
      <c r="K54" s="360"/>
      <c r="L54" s="361"/>
      <c r="M54" s="359">
        <f>SUM(M48:M53)</f>
        <v>1</v>
      </c>
      <c r="N54" s="360"/>
      <c r="O54" s="361"/>
      <c r="P54" s="359">
        <f>SUM(P48:P53)</f>
        <v>1</v>
      </c>
      <c r="Q54" s="360"/>
      <c r="R54" s="361"/>
      <c r="S54" s="359">
        <f>SUM(S48:S53)</f>
        <v>1</v>
      </c>
      <c r="T54" s="360"/>
      <c r="U54" s="361"/>
      <c r="V54" s="359">
        <f>SUM(V48:V53)</f>
        <v>1</v>
      </c>
      <c r="W54" s="360"/>
      <c r="X54" s="361"/>
      <c r="Y54" s="359">
        <f>SUM(Y48:Y53)</f>
        <v>1</v>
      </c>
      <c r="Z54" s="360"/>
      <c r="AA54" s="361"/>
      <c r="AB54" s="359">
        <f>SUM(AB48:AB53)</f>
        <v>1</v>
      </c>
      <c r="AC54" s="360"/>
      <c r="AD54" s="361"/>
      <c r="AE54" s="359">
        <f>SUM(AE48:AE53)</f>
        <v>1</v>
      </c>
      <c r="AF54" s="360"/>
      <c r="AG54" s="361"/>
      <c r="AH54" s="359">
        <f>SUM(AH48:AH53)</f>
        <v>1</v>
      </c>
      <c r="AI54" s="360"/>
      <c r="AJ54" s="361"/>
      <c r="AK54" s="359">
        <f>SUM(AK48:AK53)</f>
        <v>1</v>
      </c>
      <c r="AL54" s="360"/>
      <c r="AM54" s="361"/>
      <c r="AN54" s="357"/>
      <c r="AO54" s="353"/>
    </row>
    <row r="55" spans="1:41" x14ac:dyDescent="0.2">
      <c r="B55" s="351"/>
      <c r="C55" s="358"/>
      <c r="D55" s="362"/>
      <c r="E55" s="363"/>
      <c r="F55" s="356"/>
      <c r="G55" s="362"/>
      <c r="H55" s="363"/>
      <c r="I55" s="356"/>
      <c r="J55" s="362"/>
      <c r="K55" s="363"/>
      <c r="L55" s="356"/>
      <c r="M55" s="362"/>
      <c r="N55" s="363"/>
      <c r="O55" s="356"/>
      <c r="P55" s="362"/>
      <c r="Q55" s="363"/>
      <c r="R55" s="356"/>
      <c r="S55" s="362"/>
      <c r="T55" s="363"/>
      <c r="U55" s="356"/>
      <c r="V55" s="362"/>
      <c r="W55" s="363"/>
      <c r="X55" s="356"/>
      <c r="Y55" s="362"/>
      <c r="Z55" s="363"/>
      <c r="AA55" s="356"/>
      <c r="AB55" s="362"/>
      <c r="AC55" s="363"/>
      <c r="AD55" s="356"/>
      <c r="AE55" s="362"/>
      <c r="AF55" s="363"/>
      <c r="AG55" s="356"/>
      <c r="AH55" s="362"/>
      <c r="AI55" s="363"/>
      <c r="AJ55" s="356"/>
      <c r="AK55" s="362"/>
      <c r="AL55" s="363"/>
      <c r="AM55" s="356"/>
      <c r="AN55" s="357"/>
      <c r="AO55" s="353"/>
    </row>
    <row r="56" spans="1:41" x14ac:dyDescent="0.2">
      <c r="B56" s="351"/>
      <c r="C56" s="364" t="s">
        <v>108</v>
      </c>
      <c r="D56" s="365"/>
      <c r="E56" s="365"/>
      <c r="F56" s="365">
        <f>SUM(F48:F55)</f>
        <v>2464000</v>
      </c>
      <c r="G56" s="365"/>
      <c r="H56" s="365"/>
      <c r="I56" s="365">
        <f>SUM(I48:I55)</f>
        <v>2464000</v>
      </c>
      <c r="J56" s="365"/>
      <c r="K56" s="365"/>
      <c r="L56" s="365">
        <f>SUM(L48:L55)</f>
        <v>2464000</v>
      </c>
      <c r="M56" s="365"/>
      <c r="N56" s="365"/>
      <c r="O56" s="365">
        <f>SUM(O48:O55)</f>
        <v>2464000</v>
      </c>
      <c r="P56" s="365"/>
      <c r="Q56" s="365"/>
      <c r="R56" s="365">
        <f>SUM(R48:R55)</f>
        <v>2464000</v>
      </c>
      <c r="S56" s="365"/>
      <c r="T56" s="365"/>
      <c r="U56" s="365">
        <f>SUM(U48:U55)</f>
        <v>2464000</v>
      </c>
      <c r="V56" s="365"/>
      <c r="W56" s="365"/>
      <c r="X56" s="365">
        <f>SUM(X48:X55)</f>
        <v>2464000</v>
      </c>
      <c r="Y56" s="365"/>
      <c r="Z56" s="365"/>
      <c r="AA56" s="365">
        <f>SUM(AA48:AA55)</f>
        <v>2464000</v>
      </c>
      <c r="AB56" s="365"/>
      <c r="AC56" s="365"/>
      <c r="AD56" s="365">
        <f>SUM(AD48:AD55)</f>
        <v>2464000</v>
      </c>
      <c r="AE56" s="368"/>
      <c r="AF56" s="365"/>
      <c r="AG56" s="365">
        <f>SUM(AG48:AG55)</f>
        <v>2464000</v>
      </c>
      <c r="AH56" s="365"/>
      <c r="AI56" s="365"/>
      <c r="AJ56" s="365">
        <f>SUM(AJ48:AJ55)</f>
        <v>2464000</v>
      </c>
      <c r="AK56" s="365"/>
      <c r="AL56" s="365"/>
      <c r="AM56" s="365">
        <f>SUM(AM48:AM55)</f>
        <v>2464000</v>
      </c>
      <c r="AN56" s="366">
        <f>SUM(AN48:AN55)</f>
        <v>29568000</v>
      </c>
      <c r="AO56" s="353"/>
    </row>
    <row r="57" spans="1:41" x14ac:dyDescent="0.2">
      <c r="B57" s="351"/>
      <c r="C57" s="367" t="s">
        <v>161</v>
      </c>
      <c r="D57" s="368">
        <f>SUMIF(E48:E53,"&lt;923000",D48:D53)</f>
        <v>0</v>
      </c>
      <c r="E57" s="369">
        <f>+E23</f>
        <v>0</v>
      </c>
      <c r="F57" s="356">
        <f>+E57*D57</f>
        <v>0</v>
      </c>
      <c r="G57" s="368">
        <f>SUMIF(H48:H53,"&lt;923000",G48:G53)</f>
        <v>0</v>
      </c>
      <c r="H57" s="369">
        <f>+H23</f>
        <v>0</v>
      </c>
      <c r="I57" s="356">
        <f>+H57*G57</f>
        <v>0</v>
      </c>
      <c r="J57" s="368">
        <f>SUMIF(K48:K53,"&lt;923000",J48:J53)</f>
        <v>0</v>
      </c>
      <c r="K57" s="369">
        <f>+K23</f>
        <v>0</v>
      </c>
      <c r="L57" s="356">
        <f>+K57*J57</f>
        <v>0</v>
      </c>
      <c r="M57" s="368">
        <f>SUMIF(N48:N53,"&lt;923000",M48:M53)</f>
        <v>0</v>
      </c>
      <c r="N57" s="369">
        <f>+N23</f>
        <v>0</v>
      </c>
      <c r="O57" s="356">
        <f>+N57*M57</f>
        <v>0</v>
      </c>
      <c r="P57" s="368">
        <f>SUMIF(Q48:Q53,"&lt;923000",P48:P53)</f>
        <v>0</v>
      </c>
      <c r="Q57" s="369">
        <f>+Q23</f>
        <v>0</v>
      </c>
      <c r="R57" s="356">
        <f>+Q57*P57</f>
        <v>0</v>
      </c>
      <c r="S57" s="368">
        <f>SUMIF(T48:T53,"&lt;923000",S48:S53)</f>
        <v>0</v>
      </c>
      <c r="T57" s="369">
        <f>+T23</f>
        <v>0</v>
      </c>
      <c r="U57" s="356">
        <f>+T57*S57</f>
        <v>0</v>
      </c>
      <c r="V57" s="368">
        <f>SUMIF(W48:W53,"&lt;923000",V48:V53)</f>
        <v>0</v>
      </c>
      <c r="W57" s="369">
        <f>+W23</f>
        <v>0</v>
      </c>
      <c r="X57" s="356">
        <f>+W57*V57</f>
        <v>0</v>
      </c>
      <c r="Y57" s="368">
        <f>SUMIF(Z48:Z53,"&lt;923000",Y48:Y53)</f>
        <v>0</v>
      </c>
      <c r="Z57" s="369">
        <f>+Z23</f>
        <v>0</v>
      </c>
      <c r="AA57" s="356">
        <f>+Z57*Y57</f>
        <v>0</v>
      </c>
      <c r="AB57" s="368">
        <f>SUMIF(AC48:AC53,"&lt;923000",AB48:AB53)</f>
        <v>0</v>
      </c>
      <c r="AC57" s="369">
        <f>+AC23</f>
        <v>0</v>
      </c>
      <c r="AD57" s="356">
        <f>+AC57*AB57</f>
        <v>0</v>
      </c>
      <c r="AE57" s="368">
        <f>SUMIF(AF48:AF53,"&lt;923000",AE48:AE53)</f>
        <v>0</v>
      </c>
      <c r="AF57" s="369">
        <f>+AF23</f>
        <v>0</v>
      </c>
      <c r="AG57" s="356">
        <f>+AF57*AE57</f>
        <v>0</v>
      </c>
      <c r="AH57" s="368">
        <f>SUMIF(AI48:AI53,"&lt;923000",AH48:AH53)</f>
        <v>0</v>
      </c>
      <c r="AI57" s="369">
        <f>+AI23</f>
        <v>0</v>
      </c>
      <c r="AJ57" s="356">
        <f>+AI57*AH57</f>
        <v>0</v>
      </c>
      <c r="AK57" s="368">
        <f>SUMIF(AL48:AL53,"&lt;923000",AK48:AK53)</f>
        <v>0</v>
      </c>
      <c r="AL57" s="369">
        <f>+AL23</f>
        <v>0</v>
      </c>
      <c r="AM57" s="356">
        <f>+AL57*AK57</f>
        <v>0</v>
      </c>
      <c r="AN57" s="357">
        <f>+AM57+AJ57+AG57+AD57+AA57+X57+U57+R57+O57+L57+I57+F57</f>
        <v>0</v>
      </c>
      <c r="AO57" s="353"/>
    </row>
    <row r="58" spans="1:41" x14ac:dyDescent="0.2">
      <c r="B58" s="351"/>
      <c r="C58" s="367" t="s">
        <v>169</v>
      </c>
      <c r="D58" s="370"/>
      <c r="E58" s="369"/>
      <c r="F58" s="370">
        <f>(F56+F57)*Supuestos!$D$25</f>
        <v>1478400</v>
      </c>
      <c r="G58" s="370"/>
      <c r="H58" s="369"/>
      <c r="I58" s="370">
        <f>(I56+I57)*Supuestos!$D$25</f>
        <v>1478400</v>
      </c>
      <c r="J58" s="370"/>
      <c r="K58" s="369"/>
      <c r="L58" s="370">
        <f>(L56+L57)*Supuestos!$D$25</f>
        <v>1478400</v>
      </c>
      <c r="M58" s="370"/>
      <c r="N58" s="369"/>
      <c r="O58" s="370">
        <f>(O56+O57)*Supuestos!$D$25</f>
        <v>1478400</v>
      </c>
      <c r="P58" s="370"/>
      <c r="Q58" s="369"/>
      <c r="R58" s="370">
        <f>(R56+R57)*Supuestos!$D$25</f>
        <v>1478400</v>
      </c>
      <c r="S58" s="370"/>
      <c r="T58" s="369"/>
      <c r="U58" s="370">
        <f>(U56+U57)*Supuestos!$D$25</f>
        <v>1478400</v>
      </c>
      <c r="V58" s="370"/>
      <c r="W58" s="369"/>
      <c r="X58" s="370">
        <f>(X56+X57)*Supuestos!$D$25</f>
        <v>1478400</v>
      </c>
      <c r="Y58" s="370"/>
      <c r="Z58" s="369"/>
      <c r="AA58" s="370">
        <f>(AA56+AA57)*Supuestos!$D$25</f>
        <v>1478400</v>
      </c>
      <c r="AB58" s="370"/>
      <c r="AC58" s="369"/>
      <c r="AD58" s="370">
        <f>(AD56+AD57)*Supuestos!$D$25</f>
        <v>1478400</v>
      </c>
      <c r="AE58" s="370"/>
      <c r="AF58" s="369"/>
      <c r="AG58" s="370">
        <f>(AG56+AG57)*Supuestos!$D$25</f>
        <v>1478400</v>
      </c>
      <c r="AH58" s="370"/>
      <c r="AI58" s="369"/>
      <c r="AJ58" s="370">
        <f>(AJ56+AJ57)*Supuestos!$D$25</f>
        <v>1478400</v>
      </c>
      <c r="AK58" s="370"/>
      <c r="AL58" s="369"/>
      <c r="AM58" s="370">
        <f>(AM56+AM57)*Supuestos!$D$25</f>
        <v>1478400</v>
      </c>
      <c r="AN58" s="357">
        <f>+AM58+AJ58+AG58+AD58+AA58+X58+U58+R58+O58+L58+I58+F58</f>
        <v>17740800</v>
      </c>
      <c r="AO58" s="353"/>
    </row>
    <row r="59" spans="1:41" x14ac:dyDescent="0.2">
      <c r="B59" s="351"/>
      <c r="C59" s="372" t="s">
        <v>89</v>
      </c>
      <c r="D59" s="385"/>
      <c r="E59" s="385"/>
      <c r="F59" s="372">
        <f>SUM(F56:F58)</f>
        <v>3942400</v>
      </c>
      <c r="G59" s="385"/>
      <c r="H59" s="385"/>
      <c r="I59" s="372">
        <f>SUM(I56:I58)</f>
        <v>3942400</v>
      </c>
      <c r="J59" s="385"/>
      <c r="K59" s="385"/>
      <c r="L59" s="372">
        <f>SUM(L56:L58)</f>
        <v>3942400</v>
      </c>
      <c r="M59" s="385"/>
      <c r="N59" s="385"/>
      <c r="O59" s="372">
        <f>SUM(O56:O58)</f>
        <v>3942400</v>
      </c>
      <c r="P59" s="385"/>
      <c r="Q59" s="385"/>
      <c r="R59" s="372">
        <f>SUM(R56:R58)</f>
        <v>3942400</v>
      </c>
      <c r="S59" s="385"/>
      <c r="T59" s="385"/>
      <c r="U59" s="372">
        <f>SUM(U56:U58)</f>
        <v>3942400</v>
      </c>
      <c r="V59" s="385"/>
      <c r="W59" s="385"/>
      <c r="X59" s="372">
        <f>SUM(X56:X58)</f>
        <v>3942400</v>
      </c>
      <c r="Y59" s="385"/>
      <c r="Z59" s="385"/>
      <c r="AA59" s="372">
        <f>SUM(AA56:AA58)</f>
        <v>3942400</v>
      </c>
      <c r="AB59" s="385"/>
      <c r="AC59" s="385"/>
      <c r="AD59" s="372">
        <f>SUM(AD56:AD58)</f>
        <v>3942400</v>
      </c>
      <c r="AE59" s="385"/>
      <c r="AF59" s="385"/>
      <c r="AG59" s="372">
        <f>SUM(AG56:AG58)</f>
        <v>3942400</v>
      </c>
      <c r="AH59" s="385"/>
      <c r="AI59" s="385"/>
      <c r="AJ59" s="372">
        <f>SUM(AJ56:AJ58)</f>
        <v>3942400</v>
      </c>
      <c r="AK59" s="385"/>
      <c r="AL59" s="385"/>
      <c r="AM59" s="372">
        <f>SUM(AM56:AM58)</f>
        <v>3942400</v>
      </c>
      <c r="AN59" s="372">
        <f>SUM(AN56:AN58)</f>
        <v>47308800</v>
      </c>
      <c r="AO59" s="353"/>
    </row>
    <row r="60" spans="1:41" ht="13.5" thickBot="1" x14ac:dyDescent="0.25">
      <c r="B60" s="376"/>
      <c r="C60" s="386"/>
      <c r="D60" s="386"/>
      <c r="E60" s="386"/>
      <c r="F60" s="386"/>
      <c r="G60" s="386"/>
      <c r="H60" s="386"/>
      <c r="I60" s="386"/>
      <c r="J60" s="386"/>
      <c r="K60" s="386"/>
      <c r="L60" s="386"/>
      <c r="M60" s="386"/>
      <c r="N60" s="386"/>
      <c r="O60" s="386"/>
      <c r="P60" s="386"/>
      <c r="Q60" s="386"/>
      <c r="R60" s="386"/>
      <c r="S60" s="386"/>
      <c r="T60" s="386"/>
      <c r="U60" s="386"/>
      <c r="V60" s="386"/>
      <c r="W60" s="386"/>
      <c r="X60" s="386"/>
      <c r="Y60" s="386"/>
      <c r="Z60" s="386"/>
      <c r="AA60" s="386"/>
      <c r="AB60" s="386"/>
      <c r="AC60" s="386"/>
      <c r="AD60" s="386"/>
      <c r="AE60" s="386"/>
      <c r="AF60" s="386"/>
      <c r="AG60" s="386"/>
      <c r="AH60" s="386"/>
      <c r="AI60" s="386"/>
      <c r="AJ60" s="386"/>
      <c r="AK60" s="386"/>
      <c r="AL60" s="386"/>
      <c r="AM60" s="386"/>
      <c r="AN60" s="379"/>
      <c r="AO60" s="380"/>
    </row>
    <row r="61" spans="1:41" s="21" customFormat="1" x14ac:dyDescent="0.2">
      <c r="B61" s="387"/>
      <c r="C61" s="388"/>
      <c r="D61" s="388"/>
      <c r="E61" s="388"/>
      <c r="F61" s="388"/>
      <c r="G61" s="388"/>
      <c r="H61" s="388"/>
      <c r="I61" s="388"/>
      <c r="J61" s="388"/>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8"/>
      <c r="AK61" s="388"/>
      <c r="AL61" s="388"/>
      <c r="AM61" s="388"/>
      <c r="AN61" s="387"/>
      <c r="AO61" s="387"/>
    </row>
    <row r="62" spans="1:41" s="21" customFormat="1" x14ac:dyDescent="0.2">
      <c r="B62" s="387"/>
      <c r="C62" s="388"/>
      <c r="D62" s="388"/>
      <c r="E62" s="388"/>
      <c r="F62" s="388"/>
      <c r="G62" s="388"/>
      <c r="H62" s="388"/>
      <c r="I62" s="388"/>
      <c r="J62" s="388"/>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8"/>
      <c r="AJ62" s="388"/>
      <c r="AK62" s="388"/>
      <c r="AL62" s="388"/>
      <c r="AM62" s="388"/>
      <c r="AN62" s="387"/>
      <c r="AO62" s="387"/>
    </row>
    <row r="63" spans="1:41" s="21" customFormat="1" ht="13.5" thickBot="1" x14ac:dyDescent="0.25">
      <c r="B63" s="387"/>
      <c r="C63" s="388"/>
      <c r="D63" s="388"/>
      <c r="E63" s="388"/>
      <c r="F63" s="388"/>
      <c r="G63" s="388"/>
      <c r="H63" s="388"/>
      <c r="I63" s="388"/>
      <c r="J63" s="388"/>
      <c r="K63" s="388"/>
      <c r="L63" s="388"/>
      <c r="M63" s="388"/>
      <c r="N63" s="388"/>
      <c r="O63" s="388"/>
      <c r="P63" s="388"/>
      <c r="Q63" s="388"/>
      <c r="R63" s="388"/>
      <c r="S63" s="388"/>
      <c r="T63" s="388"/>
      <c r="U63" s="388"/>
      <c r="V63" s="388"/>
      <c r="W63" s="388"/>
      <c r="X63" s="388"/>
      <c r="Y63" s="388"/>
      <c r="Z63" s="388"/>
      <c r="AA63" s="388"/>
      <c r="AB63" s="388"/>
      <c r="AC63" s="388"/>
      <c r="AD63" s="388"/>
      <c r="AE63" s="388"/>
      <c r="AF63" s="388"/>
      <c r="AG63" s="388"/>
      <c r="AH63" s="388"/>
      <c r="AI63" s="388"/>
      <c r="AJ63" s="388"/>
      <c r="AK63" s="388"/>
      <c r="AL63" s="388"/>
      <c r="AM63" s="388"/>
      <c r="AN63" s="387"/>
      <c r="AO63" s="387"/>
    </row>
    <row r="64" spans="1:41" x14ac:dyDescent="0.2">
      <c r="B64" s="348"/>
      <c r="C64" s="389"/>
      <c r="D64" s="389"/>
      <c r="E64" s="389"/>
      <c r="F64" s="389"/>
      <c r="G64" s="389"/>
      <c r="H64" s="389"/>
      <c r="I64" s="389"/>
      <c r="J64" s="389"/>
      <c r="K64" s="389"/>
      <c r="L64" s="389"/>
      <c r="M64" s="389"/>
      <c r="N64" s="389"/>
      <c r="O64" s="389"/>
      <c r="P64" s="389"/>
      <c r="Q64" s="389"/>
      <c r="R64" s="389"/>
      <c r="S64" s="389"/>
      <c r="T64" s="389"/>
      <c r="U64" s="389"/>
      <c r="V64" s="389"/>
      <c r="W64" s="389"/>
      <c r="X64" s="389"/>
      <c r="Y64" s="389"/>
      <c r="Z64" s="389"/>
      <c r="AA64" s="389"/>
      <c r="AB64" s="389"/>
      <c r="AC64" s="389"/>
      <c r="AD64" s="389"/>
      <c r="AE64" s="389"/>
      <c r="AF64" s="389"/>
      <c r="AG64" s="389"/>
      <c r="AH64" s="389"/>
      <c r="AI64" s="389"/>
      <c r="AJ64" s="389"/>
      <c r="AK64" s="389"/>
      <c r="AL64" s="389"/>
      <c r="AM64" s="389"/>
      <c r="AN64" s="349"/>
      <c r="AO64" s="350"/>
    </row>
    <row r="65" spans="2:42" ht="25.5" x14ac:dyDescent="0.2">
      <c r="B65" s="351"/>
      <c r="C65" s="354" t="s">
        <v>106</v>
      </c>
      <c r="D65" s="354" t="s">
        <v>35</v>
      </c>
      <c r="E65" s="354" t="s">
        <v>36</v>
      </c>
      <c r="F65" s="354" t="s">
        <v>245</v>
      </c>
      <c r="G65" s="354" t="s">
        <v>35</v>
      </c>
      <c r="H65" s="354" t="s">
        <v>36</v>
      </c>
      <c r="I65" s="354" t="s">
        <v>245</v>
      </c>
      <c r="J65" s="354" t="s">
        <v>35</v>
      </c>
      <c r="K65" s="354" t="s">
        <v>36</v>
      </c>
      <c r="L65" s="354" t="s">
        <v>245</v>
      </c>
      <c r="M65" s="354" t="s">
        <v>35</v>
      </c>
      <c r="N65" s="354" t="s">
        <v>36</v>
      </c>
      <c r="O65" s="354" t="s">
        <v>245</v>
      </c>
      <c r="P65" s="354" t="s">
        <v>35</v>
      </c>
      <c r="Q65" s="354" t="s">
        <v>36</v>
      </c>
      <c r="R65" s="354" t="s">
        <v>245</v>
      </c>
      <c r="S65" s="354" t="s">
        <v>35</v>
      </c>
      <c r="T65" s="354" t="s">
        <v>36</v>
      </c>
      <c r="U65" s="354" t="s">
        <v>245</v>
      </c>
      <c r="V65" s="354" t="s">
        <v>35</v>
      </c>
      <c r="W65" s="354" t="s">
        <v>36</v>
      </c>
      <c r="X65" s="354" t="s">
        <v>245</v>
      </c>
      <c r="Y65" s="354" t="s">
        <v>35</v>
      </c>
      <c r="Z65" s="354" t="s">
        <v>36</v>
      </c>
      <c r="AA65" s="354" t="s">
        <v>245</v>
      </c>
      <c r="AB65" s="354" t="s">
        <v>35</v>
      </c>
      <c r="AC65" s="354" t="s">
        <v>36</v>
      </c>
      <c r="AD65" s="354" t="s">
        <v>245</v>
      </c>
      <c r="AE65" s="354" t="s">
        <v>35</v>
      </c>
      <c r="AF65" s="354" t="s">
        <v>36</v>
      </c>
      <c r="AG65" s="354" t="s">
        <v>245</v>
      </c>
      <c r="AH65" s="354" t="s">
        <v>35</v>
      </c>
      <c r="AI65" s="354" t="s">
        <v>36</v>
      </c>
      <c r="AJ65" s="354" t="s">
        <v>37</v>
      </c>
      <c r="AK65" s="354" t="s">
        <v>35</v>
      </c>
      <c r="AL65" s="354" t="s">
        <v>36</v>
      </c>
      <c r="AM65" s="354" t="s">
        <v>245</v>
      </c>
      <c r="AN65" s="778" t="s">
        <v>247</v>
      </c>
      <c r="AO65" s="353"/>
    </row>
    <row r="66" spans="2:42" ht="12.75" customHeight="1" x14ac:dyDescent="0.2">
      <c r="B66" s="351"/>
      <c r="C66" s="354" t="s">
        <v>39</v>
      </c>
      <c r="D66" s="779" t="s">
        <v>233</v>
      </c>
      <c r="E66" s="779"/>
      <c r="F66" s="779"/>
      <c r="G66" s="779" t="s">
        <v>234</v>
      </c>
      <c r="H66" s="779"/>
      <c r="I66" s="779"/>
      <c r="J66" s="779" t="s">
        <v>235</v>
      </c>
      <c r="K66" s="779"/>
      <c r="L66" s="779"/>
      <c r="M66" s="779" t="s">
        <v>236</v>
      </c>
      <c r="N66" s="779"/>
      <c r="O66" s="779"/>
      <c r="P66" s="779" t="s">
        <v>237</v>
      </c>
      <c r="Q66" s="779"/>
      <c r="R66" s="779"/>
      <c r="S66" s="779" t="s">
        <v>238</v>
      </c>
      <c r="T66" s="779"/>
      <c r="U66" s="779"/>
      <c r="V66" s="779" t="s">
        <v>239</v>
      </c>
      <c r="W66" s="779"/>
      <c r="X66" s="779"/>
      <c r="Y66" s="779" t="s">
        <v>240</v>
      </c>
      <c r="Z66" s="779"/>
      <c r="AA66" s="779"/>
      <c r="AB66" s="779" t="s">
        <v>241</v>
      </c>
      <c r="AC66" s="779"/>
      <c r="AD66" s="779"/>
      <c r="AE66" s="779" t="s">
        <v>242</v>
      </c>
      <c r="AF66" s="779"/>
      <c r="AG66" s="779"/>
      <c r="AH66" s="779" t="s">
        <v>243</v>
      </c>
      <c r="AI66" s="779"/>
      <c r="AJ66" s="779"/>
      <c r="AK66" s="779" t="s">
        <v>244</v>
      </c>
      <c r="AL66" s="779"/>
      <c r="AM66" s="779"/>
      <c r="AN66" s="778"/>
      <c r="AO66" s="353"/>
    </row>
    <row r="67" spans="2:42" x14ac:dyDescent="0.2">
      <c r="B67" s="351"/>
      <c r="C67" s="341" t="s">
        <v>461</v>
      </c>
      <c r="D67" s="342">
        <v>1</v>
      </c>
      <c r="E67" s="343">
        <v>2156000</v>
      </c>
      <c r="F67" s="356">
        <f t="shared" ref="F67:F72" si="72">D67*E67</f>
        <v>2156000</v>
      </c>
      <c r="G67" s="342">
        <v>1</v>
      </c>
      <c r="H67" s="343">
        <f t="shared" ref="H67:H72" si="73">E67</f>
        <v>2156000</v>
      </c>
      <c r="I67" s="356">
        <f>G67*H67</f>
        <v>2156000</v>
      </c>
      <c r="J67" s="342">
        <v>1</v>
      </c>
      <c r="K67" s="343">
        <f t="shared" ref="K67:K72" si="74">H67</f>
        <v>2156000</v>
      </c>
      <c r="L67" s="356">
        <f t="shared" ref="L67:L72" si="75">J67*K67</f>
        <v>2156000</v>
      </c>
      <c r="M67" s="342">
        <v>1</v>
      </c>
      <c r="N67" s="343">
        <f t="shared" ref="N67:N72" si="76">K67</f>
        <v>2156000</v>
      </c>
      <c r="O67" s="356">
        <f t="shared" ref="O67:O72" si="77">M67*N67</f>
        <v>2156000</v>
      </c>
      <c r="P67" s="342">
        <v>1</v>
      </c>
      <c r="Q67" s="343">
        <f t="shared" ref="Q67:Q72" si="78">N67</f>
        <v>2156000</v>
      </c>
      <c r="R67" s="356">
        <f t="shared" ref="R67:R72" si="79">P67*Q67</f>
        <v>2156000</v>
      </c>
      <c r="S67" s="342">
        <v>1</v>
      </c>
      <c r="T67" s="343">
        <f t="shared" ref="T67:T72" si="80">Q67</f>
        <v>2156000</v>
      </c>
      <c r="U67" s="356">
        <f t="shared" ref="U67:U72" si="81">S67*T67</f>
        <v>2156000</v>
      </c>
      <c r="V67" s="342">
        <v>1</v>
      </c>
      <c r="W67" s="343">
        <f t="shared" ref="W67:W72" si="82">T67</f>
        <v>2156000</v>
      </c>
      <c r="X67" s="356">
        <f t="shared" ref="X67:X72" si="83">V67*W67</f>
        <v>2156000</v>
      </c>
      <c r="Y67" s="342">
        <v>1</v>
      </c>
      <c r="Z67" s="343">
        <f t="shared" ref="Z67:Z72" si="84">W67</f>
        <v>2156000</v>
      </c>
      <c r="AA67" s="356">
        <f t="shared" ref="AA67:AA72" si="85">Y67*Z67</f>
        <v>2156000</v>
      </c>
      <c r="AB67" s="342">
        <v>1</v>
      </c>
      <c r="AC67" s="343">
        <f t="shared" ref="AC67:AC72" si="86">Z67</f>
        <v>2156000</v>
      </c>
      <c r="AD67" s="356">
        <f t="shared" ref="AD67:AD72" si="87">AB67*AC67</f>
        <v>2156000</v>
      </c>
      <c r="AE67" s="342">
        <v>1</v>
      </c>
      <c r="AF67" s="343">
        <f t="shared" ref="AF67:AF72" si="88">AC67</f>
        <v>2156000</v>
      </c>
      <c r="AG67" s="356">
        <f t="shared" ref="AG67:AG72" si="89">AE67*AF67</f>
        <v>2156000</v>
      </c>
      <c r="AH67" s="342">
        <v>1</v>
      </c>
      <c r="AI67" s="343">
        <f t="shared" ref="AI67:AI72" si="90">AF67</f>
        <v>2156000</v>
      </c>
      <c r="AJ67" s="356">
        <f t="shared" ref="AJ67:AJ72" si="91">AH67*AI67</f>
        <v>2156000</v>
      </c>
      <c r="AK67" s="342">
        <v>1</v>
      </c>
      <c r="AL67" s="343">
        <f t="shared" ref="AL67:AL72" si="92">AI67</f>
        <v>2156000</v>
      </c>
      <c r="AM67" s="356">
        <f t="shared" ref="AM67:AM72" si="93">AK67*AL67</f>
        <v>2156000</v>
      </c>
      <c r="AN67" s="357">
        <f t="shared" ref="AN67:AN72" si="94">+AM67+AJ67+AG67+AD67+AA67+X67+U67+R67+O67+L67+I67+F67</f>
        <v>25872000</v>
      </c>
      <c r="AO67" s="353"/>
    </row>
    <row r="68" spans="2:42" x14ac:dyDescent="0.2">
      <c r="B68" s="351"/>
      <c r="C68" s="341"/>
      <c r="D68" s="342"/>
      <c r="E68" s="343"/>
      <c r="F68" s="356">
        <f t="shared" si="72"/>
        <v>0</v>
      </c>
      <c r="G68" s="342"/>
      <c r="H68" s="343">
        <f t="shared" si="73"/>
        <v>0</v>
      </c>
      <c r="I68" s="356">
        <f t="shared" ref="I68:I72" si="95">G68*H68</f>
        <v>0</v>
      </c>
      <c r="J68" s="342"/>
      <c r="K68" s="343">
        <f t="shared" si="74"/>
        <v>0</v>
      </c>
      <c r="L68" s="356">
        <f t="shared" si="75"/>
        <v>0</v>
      </c>
      <c r="M68" s="342"/>
      <c r="N68" s="343">
        <f t="shared" si="76"/>
        <v>0</v>
      </c>
      <c r="O68" s="356">
        <f t="shared" si="77"/>
        <v>0</v>
      </c>
      <c r="P68" s="342"/>
      <c r="Q68" s="343">
        <f t="shared" si="78"/>
        <v>0</v>
      </c>
      <c r="R68" s="356">
        <f t="shared" si="79"/>
        <v>0</v>
      </c>
      <c r="S68" s="342"/>
      <c r="T68" s="343">
        <f t="shared" si="80"/>
        <v>0</v>
      </c>
      <c r="U68" s="356">
        <f t="shared" si="81"/>
        <v>0</v>
      </c>
      <c r="V68" s="342"/>
      <c r="W68" s="343">
        <f t="shared" si="82"/>
        <v>0</v>
      </c>
      <c r="X68" s="356">
        <f t="shared" si="83"/>
        <v>0</v>
      </c>
      <c r="Y68" s="342"/>
      <c r="Z68" s="343">
        <f t="shared" si="84"/>
        <v>0</v>
      </c>
      <c r="AA68" s="356">
        <f t="shared" si="85"/>
        <v>0</v>
      </c>
      <c r="AB68" s="342"/>
      <c r="AC68" s="343">
        <f t="shared" si="86"/>
        <v>0</v>
      </c>
      <c r="AD68" s="356">
        <f t="shared" si="87"/>
        <v>0</v>
      </c>
      <c r="AE68" s="342"/>
      <c r="AF68" s="343">
        <f t="shared" si="88"/>
        <v>0</v>
      </c>
      <c r="AG68" s="356">
        <f t="shared" si="89"/>
        <v>0</v>
      </c>
      <c r="AH68" s="342"/>
      <c r="AI68" s="343">
        <f t="shared" si="90"/>
        <v>0</v>
      </c>
      <c r="AJ68" s="356">
        <f t="shared" si="91"/>
        <v>0</v>
      </c>
      <c r="AK68" s="342"/>
      <c r="AL68" s="343">
        <f t="shared" si="92"/>
        <v>0</v>
      </c>
      <c r="AM68" s="356">
        <f t="shared" si="93"/>
        <v>0</v>
      </c>
      <c r="AN68" s="357">
        <f t="shared" si="94"/>
        <v>0</v>
      </c>
      <c r="AO68" s="353"/>
    </row>
    <row r="69" spans="2:42" x14ac:dyDescent="0.2">
      <c r="B69" s="351"/>
      <c r="C69" s="341"/>
      <c r="D69" s="342"/>
      <c r="E69" s="343"/>
      <c r="F69" s="356">
        <f t="shared" si="72"/>
        <v>0</v>
      </c>
      <c r="G69" s="342"/>
      <c r="H69" s="343">
        <f t="shared" si="73"/>
        <v>0</v>
      </c>
      <c r="I69" s="356">
        <f t="shared" si="95"/>
        <v>0</v>
      </c>
      <c r="J69" s="342"/>
      <c r="K69" s="343">
        <f t="shared" si="74"/>
        <v>0</v>
      </c>
      <c r="L69" s="356">
        <f t="shared" si="75"/>
        <v>0</v>
      </c>
      <c r="M69" s="342"/>
      <c r="N69" s="343">
        <f t="shared" si="76"/>
        <v>0</v>
      </c>
      <c r="O69" s="356">
        <f t="shared" si="77"/>
        <v>0</v>
      </c>
      <c r="P69" s="342"/>
      <c r="Q69" s="343">
        <f t="shared" si="78"/>
        <v>0</v>
      </c>
      <c r="R69" s="356">
        <f t="shared" si="79"/>
        <v>0</v>
      </c>
      <c r="S69" s="342"/>
      <c r="T69" s="343">
        <f t="shared" si="80"/>
        <v>0</v>
      </c>
      <c r="U69" s="356">
        <f t="shared" si="81"/>
        <v>0</v>
      </c>
      <c r="V69" s="342"/>
      <c r="W69" s="343">
        <f t="shared" si="82"/>
        <v>0</v>
      </c>
      <c r="X69" s="356">
        <f t="shared" si="83"/>
        <v>0</v>
      </c>
      <c r="Y69" s="342"/>
      <c r="Z69" s="343">
        <f t="shared" si="84"/>
        <v>0</v>
      </c>
      <c r="AA69" s="356">
        <f t="shared" si="85"/>
        <v>0</v>
      </c>
      <c r="AB69" s="342"/>
      <c r="AC69" s="343">
        <f t="shared" si="86"/>
        <v>0</v>
      </c>
      <c r="AD69" s="356">
        <f t="shared" si="87"/>
        <v>0</v>
      </c>
      <c r="AE69" s="342"/>
      <c r="AF69" s="343">
        <f t="shared" si="88"/>
        <v>0</v>
      </c>
      <c r="AG69" s="356">
        <f t="shared" si="89"/>
        <v>0</v>
      </c>
      <c r="AH69" s="342"/>
      <c r="AI69" s="343">
        <f t="shared" si="90"/>
        <v>0</v>
      </c>
      <c r="AJ69" s="356">
        <f t="shared" si="91"/>
        <v>0</v>
      </c>
      <c r="AK69" s="342"/>
      <c r="AL69" s="343">
        <f t="shared" si="92"/>
        <v>0</v>
      </c>
      <c r="AM69" s="356">
        <f t="shared" si="93"/>
        <v>0</v>
      </c>
      <c r="AN69" s="357">
        <f t="shared" si="94"/>
        <v>0</v>
      </c>
      <c r="AO69" s="353"/>
    </row>
    <row r="70" spans="2:42" x14ac:dyDescent="0.2">
      <c r="B70" s="351"/>
      <c r="C70" s="341"/>
      <c r="D70" s="342"/>
      <c r="E70" s="343"/>
      <c r="F70" s="356">
        <f t="shared" si="72"/>
        <v>0</v>
      </c>
      <c r="G70" s="342"/>
      <c r="H70" s="343">
        <f t="shared" si="73"/>
        <v>0</v>
      </c>
      <c r="I70" s="356">
        <f t="shared" si="95"/>
        <v>0</v>
      </c>
      <c r="J70" s="342"/>
      <c r="K70" s="343">
        <f t="shared" si="74"/>
        <v>0</v>
      </c>
      <c r="L70" s="356">
        <f t="shared" si="75"/>
        <v>0</v>
      </c>
      <c r="M70" s="342"/>
      <c r="N70" s="343">
        <f t="shared" si="76"/>
        <v>0</v>
      </c>
      <c r="O70" s="356">
        <f t="shared" si="77"/>
        <v>0</v>
      </c>
      <c r="P70" s="342"/>
      <c r="Q70" s="343">
        <f t="shared" si="78"/>
        <v>0</v>
      </c>
      <c r="R70" s="356">
        <f t="shared" si="79"/>
        <v>0</v>
      </c>
      <c r="S70" s="342"/>
      <c r="T70" s="343">
        <f t="shared" si="80"/>
        <v>0</v>
      </c>
      <c r="U70" s="356">
        <f t="shared" si="81"/>
        <v>0</v>
      </c>
      <c r="V70" s="342"/>
      <c r="W70" s="343">
        <f t="shared" si="82"/>
        <v>0</v>
      </c>
      <c r="X70" s="356">
        <f t="shared" si="83"/>
        <v>0</v>
      </c>
      <c r="Y70" s="342"/>
      <c r="Z70" s="343">
        <f t="shared" si="84"/>
        <v>0</v>
      </c>
      <c r="AA70" s="356">
        <f t="shared" si="85"/>
        <v>0</v>
      </c>
      <c r="AB70" s="342"/>
      <c r="AC70" s="343">
        <f t="shared" si="86"/>
        <v>0</v>
      </c>
      <c r="AD70" s="356">
        <f t="shared" si="87"/>
        <v>0</v>
      </c>
      <c r="AE70" s="342"/>
      <c r="AF70" s="343">
        <f t="shared" si="88"/>
        <v>0</v>
      </c>
      <c r="AG70" s="356">
        <f t="shared" si="89"/>
        <v>0</v>
      </c>
      <c r="AH70" s="342"/>
      <c r="AI70" s="343">
        <f t="shared" si="90"/>
        <v>0</v>
      </c>
      <c r="AJ70" s="356">
        <f t="shared" si="91"/>
        <v>0</v>
      </c>
      <c r="AK70" s="342"/>
      <c r="AL70" s="343">
        <f t="shared" si="92"/>
        <v>0</v>
      </c>
      <c r="AM70" s="356">
        <f t="shared" si="93"/>
        <v>0</v>
      </c>
      <c r="AN70" s="357">
        <f t="shared" si="94"/>
        <v>0</v>
      </c>
      <c r="AO70" s="353"/>
    </row>
    <row r="71" spans="2:42" x14ac:dyDescent="0.2">
      <c r="B71" s="351"/>
      <c r="C71" s="341"/>
      <c r="D71" s="342"/>
      <c r="E71" s="343"/>
      <c r="F71" s="356">
        <f t="shared" si="72"/>
        <v>0</v>
      </c>
      <c r="G71" s="342"/>
      <c r="H71" s="343">
        <f t="shared" si="73"/>
        <v>0</v>
      </c>
      <c r="I71" s="356">
        <f t="shared" si="95"/>
        <v>0</v>
      </c>
      <c r="J71" s="342"/>
      <c r="K71" s="343">
        <f t="shared" si="74"/>
        <v>0</v>
      </c>
      <c r="L71" s="356">
        <f t="shared" si="75"/>
        <v>0</v>
      </c>
      <c r="M71" s="342"/>
      <c r="N71" s="343">
        <f t="shared" si="76"/>
        <v>0</v>
      </c>
      <c r="O71" s="356">
        <f t="shared" si="77"/>
        <v>0</v>
      </c>
      <c r="P71" s="342"/>
      <c r="Q71" s="343">
        <f t="shared" si="78"/>
        <v>0</v>
      </c>
      <c r="R71" s="356">
        <f t="shared" si="79"/>
        <v>0</v>
      </c>
      <c r="S71" s="342"/>
      <c r="T71" s="343">
        <f t="shared" si="80"/>
        <v>0</v>
      </c>
      <c r="U71" s="356">
        <f t="shared" si="81"/>
        <v>0</v>
      </c>
      <c r="V71" s="342"/>
      <c r="W71" s="343">
        <f t="shared" si="82"/>
        <v>0</v>
      </c>
      <c r="X71" s="356">
        <f t="shared" si="83"/>
        <v>0</v>
      </c>
      <c r="Y71" s="342"/>
      <c r="Z71" s="343">
        <f t="shared" si="84"/>
        <v>0</v>
      </c>
      <c r="AA71" s="356">
        <f t="shared" si="85"/>
        <v>0</v>
      </c>
      <c r="AB71" s="342"/>
      <c r="AC71" s="343">
        <f t="shared" si="86"/>
        <v>0</v>
      </c>
      <c r="AD71" s="356">
        <f t="shared" si="87"/>
        <v>0</v>
      </c>
      <c r="AE71" s="342"/>
      <c r="AF71" s="343">
        <f t="shared" si="88"/>
        <v>0</v>
      </c>
      <c r="AG71" s="356">
        <f t="shared" si="89"/>
        <v>0</v>
      </c>
      <c r="AH71" s="342"/>
      <c r="AI71" s="343">
        <f t="shared" si="90"/>
        <v>0</v>
      </c>
      <c r="AJ71" s="356">
        <f t="shared" si="91"/>
        <v>0</v>
      </c>
      <c r="AK71" s="342"/>
      <c r="AL71" s="343">
        <f t="shared" si="92"/>
        <v>0</v>
      </c>
      <c r="AM71" s="356">
        <f t="shared" si="93"/>
        <v>0</v>
      </c>
      <c r="AN71" s="357">
        <f t="shared" si="94"/>
        <v>0</v>
      </c>
      <c r="AO71" s="353"/>
    </row>
    <row r="72" spans="2:42" x14ac:dyDescent="0.2">
      <c r="B72" s="351"/>
      <c r="C72" s="341"/>
      <c r="D72" s="342"/>
      <c r="E72" s="343"/>
      <c r="F72" s="356">
        <f t="shared" si="72"/>
        <v>0</v>
      </c>
      <c r="G72" s="342"/>
      <c r="H72" s="343">
        <f t="shared" si="73"/>
        <v>0</v>
      </c>
      <c r="I72" s="356">
        <f t="shared" si="95"/>
        <v>0</v>
      </c>
      <c r="J72" s="342"/>
      <c r="K72" s="343">
        <f t="shared" si="74"/>
        <v>0</v>
      </c>
      <c r="L72" s="356">
        <f t="shared" si="75"/>
        <v>0</v>
      </c>
      <c r="M72" s="342"/>
      <c r="N72" s="343">
        <f t="shared" si="76"/>
        <v>0</v>
      </c>
      <c r="O72" s="356">
        <f t="shared" si="77"/>
        <v>0</v>
      </c>
      <c r="P72" s="342"/>
      <c r="Q72" s="343">
        <f t="shared" si="78"/>
        <v>0</v>
      </c>
      <c r="R72" s="356">
        <f t="shared" si="79"/>
        <v>0</v>
      </c>
      <c r="S72" s="342"/>
      <c r="T72" s="343">
        <f t="shared" si="80"/>
        <v>0</v>
      </c>
      <c r="U72" s="356">
        <f t="shared" si="81"/>
        <v>0</v>
      </c>
      <c r="V72" s="342"/>
      <c r="W72" s="343">
        <f t="shared" si="82"/>
        <v>0</v>
      </c>
      <c r="X72" s="356">
        <f t="shared" si="83"/>
        <v>0</v>
      </c>
      <c r="Y72" s="342"/>
      <c r="Z72" s="343">
        <f t="shared" si="84"/>
        <v>0</v>
      </c>
      <c r="AA72" s="356">
        <f t="shared" si="85"/>
        <v>0</v>
      </c>
      <c r="AB72" s="342"/>
      <c r="AC72" s="343">
        <f t="shared" si="86"/>
        <v>0</v>
      </c>
      <c r="AD72" s="356">
        <f t="shared" si="87"/>
        <v>0</v>
      </c>
      <c r="AE72" s="342"/>
      <c r="AF72" s="343">
        <f t="shared" si="88"/>
        <v>0</v>
      </c>
      <c r="AG72" s="356">
        <f t="shared" si="89"/>
        <v>0</v>
      </c>
      <c r="AH72" s="342"/>
      <c r="AI72" s="343">
        <f t="shared" si="90"/>
        <v>0</v>
      </c>
      <c r="AJ72" s="356">
        <f t="shared" si="91"/>
        <v>0</v>
      </c>
      <c r="AK72" s="342"/>
      <c r="AL72" s="343">
        <f t="shared" si="92"/>
        <v>0</v>
      </c>
      <c r="AM72" s="356">
        <f t="shared" si="93"/>
        <v>0</v>
      </c>
      <c r="AN72" s="357">
        <f t="shared" si="94"/>
        <v>0</v>
      </c>
      <c r="AO72" s="353"/>
    </row>
    <row r="73" spans="2:42" x14ac:dyDescent="0.2">
      <c r="B73" s="351"/>
      <c r="C73" s="358"/>
      <c r="D73" s="359">
        <f>SUM(D67:D72)</f>
        <v>1</v>
      </c>
      <c r="E73" s="360"/>
      <c r="F73" s="361"/>
      <c r="G73" s="359">
        <f>SUM(G67:G72)</f>
        <v>1</v>
      </c>
      <c r="H73" s="360"/>
      <c r="I73" s="361"/>
      <c r="J73" s="359">
        <f>SUM(J67:J72)</f>
        <v>1</v>
      </c>
      <c r="K73" s="360"/>
      <c r="L73" s="361"/>
      <c r="M73" s="359">
        <f>SUM(M67:M72)</f>
        <v>1</v>
      </c>
      <c r="N73" s="360"/>
      <c r="O73" s="361"/>
      <c r="P73" s="359">
        <f>SUM(P67:P72)</f>
        <v>1</v>
      </c>
      <c r="Q73" s="360"/>
      <c r="R73" s="361"/>
      <c r="S73" s="359">
        <f>SUM(S67:S72)</f>
        <v>1</v>
      </c>
      <c r="T73" s="360"/>
      <c r="U73" s="361"/>
      <c r="V73" s="359">
        <f>SUM(V67:V72)</f>
        <v>1</v>
      </c>
      <c r="W73" s="360"/>
      <c r="X73" s="361"/>
      <c r="Y73" s="359">
        <f>SUM(Y67:Y72)</f>
        <v>1</v>
      </c>
      <c r="Z73" s="360"/>
      <c r="AA73" s="361"/>
      <c r="AB73" s="359">
        <f>SUM(AB67:AB72)</f>
        <v>1</v>
      </c>
      <c r="AC73" s="360"/>
      <c r="AD73" s="361"/>
      <c r="AE73" s="359">
        <f>SUM(AE67:AE72)</f>
        <v>1</v>
      </c>
      <c r="AF73" s="360"/>
      <c r="AG73" s="361"/>
      <c r="AH73" s="359">
        <f>SUM(AH67:AH72)</f>
        <v>1</v>
      </c>
      <c r="AI73" s="360"/>
      <c r="AJ73" s="361"/>
      <c r="AK73" s="359">
        <f>SUM(AK67:AK72)</f>
        <v>1</v>
      </c>
      <c r="AL73" s="360"/>
      <c r="AM73" s="361"/>
      <c r="AN73" s="357"/>
      <c r="AO73" s="353"/>
    </row>
    <row r="74" spans="2:42" x14ac:dyDescent="0.2">
      <c r="B74" s="351"/>
      <c r="C74" s="358"/>
      <c r="D74" s="362"/>
      <c r="E74" s="363"/>
      <c r="F74" s="356"/>
      <c r="G74" s="362"/>
      <c r="H74" s="363"/>
      <c r="I74" s="356"/>
      <c r="J74" s="362"/>
      <c r="K74" s="363"/>
      <c r="L74" s="356"/>
      <c r="M74" s="362"/>
      <c r="N74" s="363"/>
      <c r="O74" s="356"/>
      <c r="P74" s="362"/>
      <c r="Q74" s="363"/>
      <c r="R74" s="356"/>
      <c r="S74" s="362"/>
      <c r="T74" s="363"/>
      <c r="U74" s="356"/>
      <c r="V74" s="362"/>
      <c r="W74" s="363"/>
      <c r="X74" s="356"/>
      <c r="Y74" s="362"/>
      <c r="Z74" s="363"/>
      <c r="AA74" s="356"/>
      <c r="AB74" s="362"/>
      <c r="AC74" s="363"/>
      <c r="AD74" s="356"/>
      <c r="AE74" s="362"/>
      <c r="AF74" s="363"/>
      <c r="AG74" s="356"/>
      <c r="AH74" s="362"/>
      <c r="AI74" s="363"/>
      <c r="AJ74" s="356"/>
      <c r="AK74" s="362"/>
      <c r="AL74" s="363"/>
      <c r="AM74" s="356"/>
      <c r="AN74" s="357"/>
      <c r="AO74" s="353"/>
    </row>
    <row r="75" spans="2:42" x14ac:dyDescent="0.2">
      <c r="B75" s="351"/>
      <c r="C75" s="364" t="s">
        <v>108</v>
      </c>
      <c r="D75" s="365"/>
      <c r="E75" s="365"/>
      <c r="F75" s="365">
        <f>SUM(F67:F72)</f>
        <v>2156000</v>
      </c>
      <c r="G75" s="365"/>
      <c r="H75" s="365"/>
      <c r="I75" s="365">
        <f>SUM(I67:I72)</f>
        <v>2156000</v>
      </c>
      <c r="J75" s="365"/>
      <c r="K75" s="365"/>
      <c r="L75" s="365">
        <f>SUM(L67:L72)</f>
        <v>2156000</v>
      </c>
      <c r="M75" s="365"/>
      <c r="N75" s="365"/>
      <c r="O75" s="365">
        <f>SUM(O67:O72)</f>
        <v>2156000</v>
      </c>
      <c r="P75" s="365"/>
      <c r="Q75" s="365"/>
      <c r="R75" s="365">
        <f>SUM(R67:R72)</f>
        <v>2156000</v>
      </c>
      <c r="S75" s="365"/>
      <c r="T75" s="365"/>
      <c r="U75" s="365">
        <f>SUM(U67:U72)</f>
        <v>2156000</v>
      </c>
      <c r="V75" s="365"/>
      <c r="W75" s="365"/>
      <c r="X75" s="365">
        <f>SUM(X67:X72)</f>
        <v>2156000</v>
      </c>
      <c r="Y75" s="365"/>
      <c r="Z75" s="365"/>
      <c r="AA75" s="365">
        <f>SUM(AA67:AA72)</f>
        <v>2156000</v>
      </c>
      <c r="AB75" s="365"/>
      <c r="AC75" s="365"/>
      <c r="AD75" s="365">
        <f>SUM(AD67:AD72)</f>
        <v>2156000</v>
      </c>
      <c r="AE75" s="365"/>
      <c r="AF75" s="365"/>
      <c r="AG75" s="365">
        <f>SUM(AG67:AG72)</f>
        <v>2156000</v>
      </c>
      <c r="AH75" s="365"/>
      <c r="AI75" s="365"/>
      <c r="AJ75" s="365">
        <f>SUM(AJ67:AJ72)</f>
        <v>2156000</v>
      </c>
      <c r="AK75" s="365"/>
      <c r="AL75" s="365"/>
      <c r="AM75" s="365">
        <f>SUM(AM67:AM72)</f>
        <v>2156000</v>
      </c>
      <c r="AN75" s="372">
        <f>SUM(AN67:AN72)</f>
        <v>25872000</v>
      </c>
      <c r="AO75" s="353"/>
    </row>
    <row r="76" spans="2:42" x14ac:dyDescent="0.2">
      <c r="B76" s="351"/>
      <c r="C76" s="367" t="s">
        <v>161</v>
      </c>
      <c r="D76" s="368">
        <f>SUMIF(E67:E72,"&lt;923000",D67:D72)</f>
        <v>0</v>
      </c>
      <c r="E76" s="369">
        <f>+E57</f>
        <v>0</v>
      </c>
      <c r="F76" s="356">
        <f>+E76*D76</f>
        <v>0</v>
      </c>
      <c r="G76" s="368">
        <f>SUMIF(H67:H72,"&lt;923000",G67:G72)</f>
        <v>0</v>
      </c>
      <c r="H76" s="369">
        <f>+H57</f>
        <v>0</v>
      </c>
      <c r="I76" s="356">
        <f>+H76*G76</f>
        <v>0</v>
      </c>
      <c r="J76" s="368">
        <f>SUMIF(K67:K72,"&lt;923000",J67:J72)</f>
        <v>0</v>
      </c>
      <c r="K76" s="369">
        <f>+K57</f>
        <v>0</v>
      </c>
      <c r="L76" s="356">
        <f>+K76*J76</f>
        <v>0</v>
      </c>
      <c r="M76" s="368">
        <f>SUMIF(N67:N72,"&lt;923000",M67:M72)</f>
        <v>0</v>
      </c>
      <c r="N76" s="369">
        <f>+N57</f>
        <v>0</v>
      </c>
      <c r="O76" s="356">
        <f>+N76*M76</f>
        <v>0</v>
      </c>
      <c r="P76" s="368">
        <f>SUMIF(Q67:Q72,"&lt;923000",P67:P72)</f>
        <v>0</v>
      </c>
      <c r="Q76" s="369">
        <f>+Q57</f>
        <v>0</v>
      </c>
      <c r="R76" s="356">
        <f>+Q76*P76</f>
        <v>0</v>
      </c>
      <c r="S76" s="368">
        <f>SUMIF(T67:T72,"&lt;923000",S67:S72)</f>
        <v>0</v>
      </c>
      <c r="T76" s="369">
        <f>+T57</f>
        <v>0</v>
      </c>
      <c r="U76" s="356">
        <f>+T76*S76</f>
        <v>0</v>
      </c>
      <c r="V76" s="368">
        <f>SUMIF(W67:W72,"&lt;923000",V67:V72)</f>
        <v>0</v>
      </c>
      <c r="W76" s="369">
        <f>+W57</f>
        <v>0</v>
      </c>
      <c r="X76" s="356">
        <f>+W76*V76</f>
        <v>0</v>
      </c>
      <c r="Y76" s="368">
        <f>SUMIF(Z67:Z72,"&lt;923000",Y67:Y72)</f>
        <v>0</v>
      </c>
      <c r="Z76" s="369">
        <f>+Z57</f>
        <v>0</v>
      </c>
      <c r="AA76" s="356">
        <f>+Z76*Y76</f>
        <v>0</v>
      </c>
      <c r="AB76" s="368">
        <f>SUMIF(AC67:AC72,"&lt;923000",AB67:AB72)</f>
        <v>0</v>
      </c>
      <c r="AC76" s="369">
        <f>+AC57</f>
        <v>0</v>
      </c>
      <c r="AD76" s="356">
        <f>+AC76*AB76</f>
        <v>0</v>
      </c>
      <c r="AE76" s="368">
        <f>SUMIF(AF67:AF72,"&lt;923000",AE67:AE72)</f>
        <v>0</v>
      </c>
      <c r="AF76" s="369">
        <f>+AF57</f>
        <v>0</v>
      </c>
      <c r="AG76" s="356">
        <f>+AF76*AE76</f>
        <v>0</v>
      </c>
      <c r="AH76" s="368">
        <f>SUMIF(AI67:AI72,"&lt;923000",AH67:AH72)</f>
        <v>0</v>
      </c>
      <c r="AI76" s="369">
        <f>+AI57</f>
        <v>0</v>
      </c>
      <c r="AJ76" s="356">
        <f>+AI76*AH76</f>
        <v>0</v>
      </c>
      <c r="AK76" s="368">
        <f>SUMIF(AL67:AL72,"&lt;923000",AK67:AK72)</f>
        <v>0</v>
      </c>
      <c r="AL76" s="369">
        <f>+AL57</f>
        <v>0</v>
      </c>
      <c r="AM76" s="356">
        <f>+AL76*AK76</f>
        <v>0</v>
      </c>
      <c r="AN76" s="357">
        <f>+AM76+AJ76+AG76+AD76+AA76+X76+U76+R76+O76+L76+I76+F76</f>
        <v>0</v>
      </c>
      <c r="AO76" s="353"/>
    </row>
    <row r="77" spans="2:42" x14ac:dyDescent="0.2">
      <c r="B77" s="351"/>
      <c r="C77" s="367" t="s">
        <v>169</v>
      </c>
      <c r="D77" s="370"/>
      <c r="E77" s="369"/>
      <c r="F77" s="370">
        <f>(F75+F76)*Supuestos!$D$25</f>
        <v>1293600</v>
      </c>
      <c r="G77" s="370"/>
      <c r="H77" s="369"/>
      <c r="I77" s="370">
        <f>(I75+I76)*Supuestos!$D$25</f>
        <v>1293600</v>
      </c>
      <c r="J77" s="370"/>
      <c r="K77" s="369"/>
      <c r="L77" s="370">
        <f>(L75+L76)*Supuestos!$D$25</f>
        <v>1293600</v>
      </c>
      <c r="M77" s="370"/>
      <c r="N77" s="369"/>
      <c r="O77" s="370">
        <f>(O75+O76)*Supuestos!$D$25</f>
        <v>1293600</v>
      </c>
      <c r="P77" s="370"/>
      <c r="Q77" s="369"/>
      <c r="R77" s="370">
        <f>(R75+R76)*Supuestos!$D$25</f>
        <v>1293600</v>
      </c>
      <c r="S77" s="370"/>
      <c r="T77" s="369"/>
      <c r="U77" s="370">
        <f>(U75+U76)*Supuestos!$D$25</f>
        <v>1293600</v>
      </c>
      <c r="V77" s="370"/>
      <c r="W77" s="369"/>
      <c r="X77" s="370">
        <f>(X75+X76)*Supuestos!$D$25</f>
        <v>1293600</v>
      </c>
      <c r="Y77" s="370"/>
      <c r="Z77" s="369"/>
      <c r="AA77" s="370">
        <f>(AA75+AA76)*Supuestos!$D$25</f>
        <v>1293600</v>
      </c>
      <c r="AB77" s="370"/>
      <c r="AC77" s="369"/>
      <c r="AD77" s="370">
        <f>(AD75+AD76)*Supuestos!$D$25</f>
        <v>1293600</v>
      </c>
      <c r="AE77" s="370"/>
      <c r="AF77" s="369"/>
      <c r="AG77" s="370">
        <f>(AG75+AG76)*Supuestos!$D$25</f>
        <v>1293600</v>
      </c>
      <c r="AH77" s="370"/>
      <c r="AI77" s="369"/>
      <c r="AJ77" s="370">
        <f>(AJ75+AJ76)*Supuestos!$D$25</f>
        <v>1293600</v>
      </c>
      <c r="AK77" s="370"/>
      <c r="AL77" s="369"/>
      <c r="AM77" s="370">
        <f>(AM75+AM76)*Supuestos!$D$25</f>
        <v>1293600</v>
      </c>
      <c r="AN77" s="357">
        <f>+AM77+AJ77+AG77+AD77+AA77+X77+U77+R77+O77+L77+I77+F77</f>
        <v>15523200</v>
      </c>
      <c r="AO77" s="353"/>
    </row>
    <row r="78" spans="2:42" x14ac:dyDescent="0.2">
      <c r="B78" s="351"/>
      <c r="C78" s="371" t="s">
        <v>90</v>
      </c>
      <c r="D78" s="372"/>
      <c r="E78" s="372"/>
      <c r="F78" s="372">
        <f>SUM(F75:F77)</f>
        <v>3449600</v>
      </c>
      <c r="G78" s="372"/>
      <c r="H78" s="372"/>
      <c r="I78" s="372">
        <f>SUM(I75:I77)</f>
        <v>3449600</v>
      </c>
      <c r="J78" s="372"/>
      <c r="K78" s="372"/>
      <c r="L78" s="372">
        <f>SUM(L75:L77)</f>
        <v>3449600</v>
      </c>
      <c r="M78" s="372"/>
      <c r="N78" s="372"/>
      <c r="O78" s="372">
        <f>SUM(O75:O77)</f>
        <v>3449600</v>
      </c>
      <c r="P78" s="372"/>
      <c r="Q78" s="372"/>
      <c r="R78" s="372">
        <f>SUM(R75:R77)</f>
        <v>3449600</v>
      </c>
      <c r="S78" s="372"/>
      <c r="T78" s="372"/>
      <c r="U78" s="372">
        <f>SUM(U75:U77)</f>
        <v>3449600</v>
      </c>
      <c r="V78" s="372"/>
      <c r="W78" s="372"/>
      <c r="X78" s="372">
        <f>SUM(X75:X77)</f>
        <v>3449600</v>
      </c>
      <c r="Y78" s="372"/>
      <c r="Z78" s="372"/>
      <c r="AA78" s="372">
        <f>SUM(AA75:AA77)</f>
        <v>3449600</v>
      </c>
      <c r="AB78" s="372"/>
      <c r="AC78" s="372"/>
      <c r="AD78" s="372">
        <f>SUM(AD75:AD77)</f>
        <v>3449600</v>
      </c>
      <c r="AE78" s="372"/>
      <c r="AF78" s="372"/>
      <c r="AG78" s="372">
        <f>SUM(AG75:AG77)</f>
        <v>3449600</v>
      </c>
      <c r="AH78" s="372"/>
      <c r="AI78" s="372"/>
      <c r="AJ78" s="372">
        <f>SUM(AJ75:AJ77)</f>
        <v>3449600</v>
      </c>
      <c r="AK78" s="372"/>
      <c r="AL78" s="372"/>
      <c r="AM78" s="372">
        <f>SUM(AM75:AM77)</f>
        <v>3449600</v>
      </c>
      <c r="AN78" s="372">
        <f>SUM(AN75:AN77)</f>
        <v>41395200</v>
      </c>
      <c r="AO78" s="353"/>
    </row>
    <row r="79" spans="2:42" ht="13.5" thickBot="1" x14ac:dyDescent="0.25">
      <c r="B79" s="376"/>
      <c r="C79" s="377"/>
      <c r="D79" s="378"/>
      <c r="E79" s="378"/>
      <c r="F79" s="378"/>
      <c r="G79" s="378"/>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378"/>
      <c r="AL79" s="378"/>
      <c r="AM79" s="378"/>
      <c r="AN79" s="379"/>
      <c r="AO79" s="380"/>
    </row>
    <row r="80" spans="2:42" ht="13.5" thickBot="1" x14ac:dyDescent="0.25">
      <c r="C80" s="373"/>
      <c r="D80" s="374"/>
      <c r="E80" s="374"/>
      <c r="F80" s="374"/>
      <c r="G80" s="374"/>
      <c r="H80" s="374"/>
      <c r="I80" s="374"/>
      <c r="J80" s="374"/>
      <c r="K80" s="374"/>
      <c r="L80" s="374"/>
      <c r="M80" s="374"/>
      <c r="N80" s="374"/>
      <c r="O80" s="374"/>
      <c r="P80" s="374"/>
      <c r="Q80" s="374"/>
      <c r="R80" s="374"/>
      <c r="S80" s="374"/>
      <c r="T80" s="374"/>
      <c r="U80" s="374"/>
      <c r="V80" s="374"/>
      <c r="W80" s="374"/>
      <c r="X80" s="374"/>
      <c r="Y80" s="374"/>
      <c r="Z80" s="374"/>
      <c r="AA80" s="374"/>
      <c r="AB80" s="374"/>
      <c r="AC80" s="374"/>
      <c r="AD80" s="374"/>
      <c r="AE80" s="374"/>
      <c r="AF80" s="374"/>
      <c r="AG80" s="374"/>
      <c r="AH80" s="374"/>
      <c r="AI80" s="374"/>
      <c r="AJ80" s="374"/>
      <c r="AK80" s="374"/>
      <c r="AL80" s="374"/>
      <c r="AM80" s="374"/>
      <c r="AN80" s="374"/>
      <c r="AO80" s="374"/>
      <c r="AP80" s="17"/>
    </row>
    <row r="81" spans="2:41" x14ac:dyDescent="0.2">
      <c r="B81" s="348"/>
      <c r="C81" s="349"/>
      <c r="D81" s="349"/>
      <c r="E81" s="349"/>
      <c r="F81" s="349"/>
      <c r="G81" s="349"/>
      <c r="H81" s="349"/>
      <c r="I81" s="349"/>
      <c r="J81" s="349"/>
      <c r="K81" s="349"/>
      <c r="L81" s="349"/>
      <c r="M81" s="349"/>
      <c r="N81" s="349"/>
      <c r="O81" s="349"/>
      <c r="P81" s="349"/>
      <c r="Q81" s="349"/>
      <c r="R81" s="349"/>
      <c r="S81" s="350"/>
    </row>
    <row r="82" spans="2:41" x14ac:dyDescent="0.2">
      <c r="B82" s="351"/>
      <c r="C82" s="783" t="str">
        <f>Supuestos!B8</f>
        <v>Centro de acopio la Bonanza Campesina</v>
      </c>
      <c r="D82" s="784"/>
      <c r="E82" s="784"/>
      <c r="F82" s="784"/>
      <c r="G82" s="784"/>
      <c r="H82" s="784"/>
      <c r="I82" s="784"/>
      <c r="J82" s="784"/>
      <c r="K82" s="784"/>
      <c r="L82" s="784"/>
      <c r="M82" s="784"/>
      <c r="N82" s="784"/>
      <c r="O82" s="784"/>
      <c r="P82" s="784"/>
      <c r="Q82" s="784"/>
      <c r="R82" s="784"/>
      <c r="S82" s="390"/>
      <c r="T82" s="391"/>
      <c r="U82" s="391"/>
    </row>
    <row r="83" spans="2:41" x14ac:dyDescent="0.2">
      <c r="B83" s="351"/>
      <c r="C83" s="783" t="s">
        <v>206</v>
      </c>
      <c r="D83" s="784"/>
      <c r="E83" s="784"/>
      <c r="F83" s="784"/>
      <c r="G83" s="784"/>
      <c r="H83" s="784"/>
      <c r="I83" s="784"/>
      <c r="J83" s="784"/>
      <c r="K83" s="784"/>
      <c r="L83" s="784"/>
      <c r="M83" s="784"/>
      <c r="N83" s="784"/>
      <c r="O83" s="784"/>
      <c r="P83" s="784"/>
      <c r="Q83" s="784"/>
      <c r="R83" s="784"/>
      <c r="S83" s="390"/>
      <c r="T83" s="391"/>
      <c r="U83" s="391"/>
    </row>
    <row r="84" spans="2:41" x14ac:dyDescent="0.2">
      <c r="B84" s="351"/>
      <c r="C84" s="392"/>
      <c r="D84" s="392"/>
      <c r="E84" s="392"/>
      <c r="F84" s="392"/>
      <c r="G84" s="392"/>
      <c r="H84" s="392"/>
      <c r="I84" s="392"/>
      <c r="J84" s="392"/>
      <c r="K84" s="392"/>
      <c r="L84" s="392"/>
      <c r="M84" s="392"/>
      <c r="N84" s="392"/>
      <c r="O84" s="392"/>
      <c r="P84" s="392"/>
      <c r="Q84" s="392"/>
      <c r="R84" s="392"/>
      <c r="S84" s="393"/>
      <c r="T84" s="347"/>
      <c r="U84" s="347"/>
      <c r="X84" s="394"/>
    </row>
    <row r="85" spans="2:41" x14ac:dyDescent="0.2">
      <c r="B85" s="351"/>
      <c r="C85" s="354" t="s">
        <v>106</v>
      </c>
      <c r="D85" s="780" t="s">
        <v>326</v>
      </c>
      <c r="E85" s="781"/>
      <c r="F85" s="782"/>
      <c r="G85" s="780" t="s">
        <v>327</v>
      </c>
      <c r="H85" s="781"/>
      <c r="I85" s="782"/>
      <c r="J85" s="780" t="s">
        <v>328</v>
      </c>
      <c r="K85" s="781"/>
      <c r="L85" s="782"/>
      <c r="M85" s="780" t="s">
        <v>329</v>
      </c>
      <c r="N85" s="781"/>
      <c r="O85" s="782"/>
      <c r="P85" s="780" t="s">
        <v>393</v>
      </c>
      <c r="Q85" s="781"/>
      <c r="R85" s="782"/>
      <c r="S85" s="353"/>
    </row>
    <row r="86" spans="2:41" ht="25.5" x14ac:dyDescent="0.2">
      <c r="B86" s="351"/>
      <c r="C86" s="354" t="s">
        <v>107</v>
      </c>
      <c r="D86" s="354" t="s">
        <v>35</v>
      </c>
      <c r="E86" s="354" t="s">
        <v>36</v>
      </c>
      <c r="F86" s="354" t="s">
        <v>37</v>
      </c>
      <c r="G86" s="354" t="s">
        <v>35</v>
      </c>
      <c r="H86" s="354" t="s">
        <v>36</v>
      </c>
      <c r="I86" s="354" t="s">
        <v>37</v>
      </c>
      <c r="J86" s="354" t="s">
        <v>35</v>
      </c>
      <c r="K86" s="354" t="s">
        <v>36</v>
      </c>
      <c r="L86" s="354" t="s">
        <v>37</v>
      </c>
      <c r="M86" s="354" t="s">
        <v>35</v>
      </c>
      <c r="N86" s="354" t="s">
        <v>36</v>
      </c>
      <c r="O86" s="354" t="s">
        <v>37</v>
      </c>
      <c r="P86" s="354" t="s">
        <v>35</v>
      </c>
      <c r="Q86" s="354" t="s">
        <v>36</v>
      </c>
      <c r="R86" s="354" t="s">
        <v>37</v>
      </c>
      <c r="S86" s="353"/>
    </row>
    <row r="87" spans="2:41" s="8" customFormat="1" x14ac:dyDescent="0.2">
      <c r="B87" s="351"/>
      <c r="C87" s="381"/>
      <c r="D87" s="355"/>
      <c r="E87" s="355"/>
      <c r="F87" s="355"/>
      <c r="G87" s="355"/>
      <c r="H87" s="355"/>
      <c r="I87" s="355"/>
      <c r="J87" s="355"/>
      <c r="K87" s="355"/>
      <c r="L87" s="355"/>
      <c r="M87" s="355"/>
      <c r="N87" s="355"/>
      <c r="O87" s="355"/>
      <c r="P87" s="355"/>
      <c r="Q87" s="355"/>
      <c r="R87" s="355"/>
      <c r="S87" s="353"/>
      <c r="T87" s="381"/>
      <c r="U87" s="381"/>
      <c r="V87" s="381"/>
      <c r="W87" s="381"/>
      <c r="X87" s="381"/>
      <c r="Y87" s="381"/>
      <c r="Z87" s="381"/>
      <c r="AA87" s="381"/>
      <c r="AB87" s="381"/>
      <c r="AC87" s="381"/>
      <c r="AD87" s="381"/>
      <c r="AE87" s="381"/>
      <c r="AF87" s="381"/>
      <c r="AG87" s="381"/>
      <c r="AH87" s="381"/>
      <c r="AI87" s="381"/>
      <c r="AJ87" s="381"/>
      <c r="AK87" s="381"/>
      <c r="AL87" s="381"/>
      <c r="AM87" s="381"/>
      <c r="AN87" s="381"/>
      <c r="AO87" s="381"/>
    </row>
    <row r="88" spans="2:41" x14ac:dyDescent="0.2">
      <c r="B88" s="351"/>
      <c r="C88" s="395" t="str">
        <f t="shared" ref="C88:C93" si="96">+C14</f>
        <v>Operarios</v>
      </c>
      <c r="D88" s="344">
        <v>3</v>
      </c>
      <c r="E88" s="362">
        <f>+AL14*(1+Supuestos!$D$20)</f>
        <v>938507.35799999989</v>
      </c>
      <c r="F88" s="356">
        <f>D88*E88*Supuestos!$E$12</f>
        <v>33786264.887999997</v>
      </c>
      <c r="G88" s="344">
        <v>3</v>
      </c>
      <c r="H88" s="362">
        <f>+E88*(1+Supuestos!$E$20)</f>
        <v>972293.62288799987</v>
      </c>
      <c r="I88" s="356">
        <f>G88*H88*Supuestos!$F$12</f>
        <v>35002570.423967995</v>
      </c>
      <c r="J88" s="342">
        <v>3</v>
      </c>
      <c r="K88" s="362">
        <f>+H88*(1+Supuestos!$F$20)</f>
        <v>1013129.9550492959</v>
      </c>
      <c r="L88" s="356">
        <f>J88*K88*Supuestos!$G$12</f>
        <v>36472678.381774649</v>
      </c>
      <c r="M88" s="342">
        <v>3</v>
      </c>
      <c r="N88" s="362">
        <f>+K88*(1+Supuestos!$G$20)</f>
        <v>1061760.1928916622</v>
      </c>
      <c r="O88" s="356">
        <f>M88*N88*Supuestos!$H$12</f>
        <v>38223366.944099844</v>
      </c>
      <c r="P88" s="342">
        <v>3</v>
      </c>
      <c r="Q88" s="362">
        <f>+N88*(1+Supuestos!$H$20)</f>
        <v>1119095.2433078121</v>
      </c>
      <c r="R88" s="356">
        <f>P88*Q88*Supuestos!$I$12</f>
        <v>40287428.759081237</v>
      </c>
      <c r="S88" s="353"/>
      <c r="V88" s="347"/>
    </row>
    <row r="89" spans="2:41" x14ac:dyDescent="0.2">
      <c r="B89" s="351"/>
      <c r="C89" s="395">
        <f t="shared" si="96"/>
        <v>0</v>
      </c>
      <c r="D89" s="342"/>
      <c r="E89" s="362">
        <f>+AL15*(1+Supuestos!$D$20)</f>
        <v>0</v>
      </c>
      <c r="F89" s="356">
        <f>D89*E89*Supuestos!$E$12</f>
        <v>0</v>
      </c>
      <c r="G89" s="342"/>
      <c r="H89" s="362">
        <f>+E89*(1+Supuestos!$E$20)</f>
        <v>0</v>
      </c>
      <c r="I89" s="356">
        <f>G89*H89*Supuestos!$F$12</f>
        <v>0</v>
      </c>
      <c r="J89" s="342"/>
      <c r="K89" s="362">
        <f>+H89*(1+Supuestos!$F$20)</f>
        <v>0</v>
      </c>
      <c r="L89" s="356">
        <f>J89*K89*Supuestos!$G$12</f>
        <v>0</v>
      </c>
      <c r="M89" s="342"/>
      <c r="N89" s="362">
        <f>+K89*(1+Supuestos!$G$20)</f>
        <v>0</v>
      </c>
      <c r="O89" s="356">
        <f>M89*N89*Supuestos!$H$12</f>
        <v>0</v>
      </c>
      <c r="P89" s="342"/>
      <c r="Q89" s="362">
        <f>+N89*(1+Supuestos!$H$20)</f>
        <v>0</v>
      </c>
      <c r="R89" s="356">
        <f>P89*Q89*Supuestos!$I$12</f>
        <v>0</v>
      </c>
      <c r="S89" s="353"/>
      <c r="V89" s="347"/>
    </row>
    <row r="90" spans="2:41" x14ac:dyDescent="0.2">
      <c r="B90" s="351"/>
      <c r="C90" s="395">
        <f t="shared" si="96"/>
        <v>0</v>
      </c>
      <c r="D90" s="342"/>
      <c r="E90" s="362">
        <f>+AL16*(1+Supuestos!$D$20)</f>
        <v>0</v>
      </c>
      <c r="F90" s="356">
        <f>D90*E90*Supuestos!$E$12</f>
        <v>0</v>
      </c>
      <c r="G90" s="342"/>
      <c r="H90" s="362">
        <f>+E90*(1+Supuestos!$E$20)</f>
        <v>0</v>
      </c>
      <c r="I90" s="356">
        <f>G90*H90*Supuestos!$F$12</f>
        <v>0</v>
      </c>
      <c r="J90" s="342"/>
      <c r="K90" s="362">
        <f>+H90*(1+Supuestos!$F$20)</f>
        <v>0</v>
      </c>
      <c r="L90" s="356">
        <f>J90*K90*Supuestos!$G$12</f>
        <v>0</v>
      </c>
      <c r="M90" s="342"/>
      <c r="N90" s="362">
        <f>+K90*(1+Supuestos!$G$20)</f>
        <v>0</v>
      </c>
      <c r="O90" s="356">
        <f>M90*N90*Supuestos!$H$12</f>
        <v>0</v>
      </c>
      <c r="P90" s="342"/>
      <c r="Q90" s="362">
        <f>+N90*(1+Supuestos!$H$20)</f>
        <v>0</v>
      </c>
      <c r="R90" s="356">
        <f>P90*Q90*Supuestos!$I$12</f>
        <v>0</v>
      </c>
      <c r="S90" s="353"/>
      <c r="V90" s="347"/>
    </row>
    <row r="91" spans="2:41" x14ac:dyDescent="0.2">
      <c r="B91" s="351"/>
      <c r="C91" s="395">
        <f t="shared" si="96"/>
        <v>0</v>
      </c>
      <c r="D91" s="342"/>
      <c r="E91" s="362">
        <f>+AL17*(1+Supuestos!$D$20)</f>
        <v>0</v>
      </c>
      <c r="F91" s="356">
        <f>D91*E91*Supuestos!$E$12</f>
        <v>0</v>
      </c>
      <c r="G91" s="342"/>
      <c r="H91" s="362">
        <f>+E91*(1+Supuestos!$E$20)</f>
        <v>0</v>
      </c>
      <c r="I91" s="356">
        <f>G91*H91*Supuestos!$F$12</f>
        <v>0</v>
      </c>
      <c r="J91" s="342"/>
      <c r="K91" s="362">
        <f>+H91*(1+Supuestos!$F$20)</f>
        <v>0</v>
      </c>
      <c r="L91" s="356">
        <f>J91*K91*Supuestos!$G$12</f>
        <v>0</v>
      </c>
      <c r="M91" s="342"/>
      <c r="N91" s="362">
        <f>+K91*(1+Supuestos!$G$20)</f>
        <v>0</v>
      </c>
      <c r="O91" s="356">
        <f>M91*N91*Supuestos!$H$12</f>
        <v>0</v>
      </c>
      <c r="P91" s="342"/>
      <c r="Q91" s="362">
        <f>+N91*(1+Supuestos!$H$20)</f>
        <v>0</v>
      </c>
      <c r="R91" s="356">
        <f>P91*Q91*Supuestos!$I$12</f>
        <v>0</v>
      </c>
      <c r="S91" s="353"/>
      <c r="V91" s="347"/>
    </row>
    <row r="92" spans="2:41" x14ac:dyDescent="0.2">
      <c r="B92" s="351"/>
      <c r="C92" s="395">
        <f t="shared" si="96"/>
        <v>0</v>
      </c>
      <c r="D92" s="342"/>
      <c r="E92" s="362">
        <f>+AL18*(1+Supuestos!$D$20)</f>
        <v>0</v>
      </c>
      <c r="F92" s="356">
        <f>D92*E92*Supuestos!$E$12</f>
        <v>0</v>
      </c>
      <c r="G92" s="342"/>
      <c r="H92" s="362">
        <f>+E92*(1+Supuestos!$E$20)</f>
        <v>0</v>
      </c>
      <c r="I92" s="356">
        <f>G92*H92*Supuestos!$F$12</f>
        <v>0</v>
      </c>
      <c r="J92" s="342"/>
      <c r="K92" s="362">
        <f>+H92*(1+Supuestos!$F$20)</f>
        <v>0</v>
      </c>
      <c r="L92" s="356">
        <f>J92*K92*Supuestos!$G$12</f>
        <v>0</v>
      </c>
      <c r="M92" s="342"/>
      <c r="N92" s="362">
        <f>+K92*(1+Supuestos!$G$20)</f>
        <v>0</v>
      </c>
      <c r="O92" s="356">
        <f>M92*N92*Supuestos!$H$12</f>
        <v>0</v>
      </c>
      <c r="P92" s="342"/>
      <c r="Q92" s="362">
        <f>+N92*(1+Supuestos!$H$20)</f>
        <v>0</v>
      </c>
      <c r="R92" s="356">
        <f>P92*Q92*Supuestos!$I$12</f>
        <v>0</v>
      </c>
      <c r="S92" s="353"/>
      <c r="V92" s="347"/>
    </row>
    <row r="93" spans="2:41" x14ac:dyDescent="0.2">
      <c r="B93" s="351"/>
      <c r="C93" s="395">
        <f t="shared" si="96"/>
        <v>0</v>
      </c>
      <c r="D93" s="342"/>
      <c r="E93" s="362">
        <f>+AL19*(1+Supuestos!$D$20)</f>
        <v>0</v>
      </c>
      <c r="F93" s="356">
        <f>D93*E93*Supuestos!$E$12</f>
        <v>0</v>
      </c>
      <c r="G93" s="342"/>
      <c r="H93" s="362">
        <f>+E93*(1+Supuestos!$E$20)</f>
        <v>0</v>
      </c>
      <c r="I93" s="356">
        <f>G93*H93*Supuestos!$F$12</f>
        <v>0</v>
      </c>
      <c r="J93" s="342"/>
      <c r="K93" s="362">
        <f>+H93*(1+Supuestos!$F$20)</f>
        <v>0</v>
      </c>
      <c r="L93" s="356">
        <f>J93*K93*Supuestos!$G$12</f>
        <v>0</v>
      </c>
      <c r="M93" s="342"/>
      <c r="N93" s="362">
        <f>+K93*(1+Supuestos!$G$20)</f>
        <v>0</v>
      </c>
      <c r="O93" s="356">
        <f>M93*N93*Supuestos!$H$12</f>
        <v>0</v>
      </c>
      <c r="P93" s="342"/>
      <c r="Q93" s="362">
        <f>+N93*(1+Supuestos!$H$20)</f>
        <v>0</v>
      </c>
      <c r="R93" s="356">
        <f>P93*Q93*Supuestos!$I$12</f>
        <v>0</v>
      </c>
      <c r="S93" s="353"/>
      <c r="V93" s="347"/>
    </row>
    <row r="94" spans="2:41" x14ac:dyDescent="0.2">
      <c r="B94" s="351"/>
      <c r="C94" s="358"/>
      <c r="D94" s="359">
        <f>SUM(D88:D93)</f>
        <v>3</v>
      </c>
      <c r="E94" s="359"/>
      <c r="F94" s="361"/>
      <c r="G94" s="359">
        <f>SUM(G88:G93)</f>
        <v>3</v>
      </c>
      <c r="H94" s="359"/>
      <c r="I94" s="361"/>
      <c r="J94" s="359">
        <f>SUM(J88:J93)</f>
        <v>3</v>
      </c>
      <c r="K94" s="359"/>
      <c r="L94" s="361"/>
      <c r="M94" s="359">
        <f>SUM(M88:M93)</f>
        <v>3</v>
      </c>
      <c r="N94" s="359"/>
      <c r="O94" s="361"/>
      <c r="P94" s="359">
        <f>SUM(P88:P93)</f>
        <v>3</v>
      </c>
      <c r="Q94" s="359"/>
      <c r="R94" s="361"/>
      <c r="S94" s="353"/>
    </row>
    <row r="95" spans="2:41" x14ac:dyDescent="0.2">
      <c r="B95" s="351"/>
      <c r="C95" s="358"/>
      <c r="D95" s="362"/>
      <c r="E95" s="362"/>
      <c r="F95" s="356"/>
      <c r="G95" s="362"/>
      <c r="H95" s="362"/>
      <c r="I95" s="356"/>
      <c r="J95" s="362"/>
      <c r="K95" s="362"/>
      <c r="L95" s="356"/>
      <c r="M95" s="362"/>
      <c r="N95" s="362"/>
      <c r="O95" s="356"/>
      <c r="P95" s="362"/>
      <c r="Q95" s="362"/>
      <c r="R95" s="356"/>
      <c r="S95" s="353"/>
    </row>
    <row r="96" spans="2:41" s="9" customFormat="1" x14ac:dyDescent="0.2">
      <c r="B96" s="396"/>
      <c r="C96" s="364" t="s">
        <v>108</v>
      </c>
      <c r="D96" s="365"/>
      <c r="E96" s="362"/>
      <c r="F96" s="365">
        <f>SUM(F88:F95)</f>
        <v>33786264.887999997</v>
      </c>
      <c r="G96" s="365"/>
      <c r="H96" s="362"/>
      <c r="I96" s="365">
        <f>SUM(I88:I95)</f>
        <v>35002570.423967995</v>
      </c>
      <c r="J96" s="365"/>
      <c r="K96" s="362"/>
      <c r="L96" s="365">
        <f>SUM(L88:L95)</f>
        <v>36472678.381774649</v>
      </c>
      <c r="M96" s="365"/>
      <c r="N96" s="362"/>
      <c r="O96" s="365">
        <f>SUM(O88:O95)</f>
        <v>38223366.944099844</v>
      </c>
      <c r="P96" s="365"/>
      <c r="Q96" s="362"/>
      <c r="R96" s="365">
        <f>SUM(R88:R95)</f>
        <v>40287428.759081237</v>
      </c>
      <c r="S96" s="397"/>
      <c r="T96" s="398"/>
      <c r="U96" s="398"/>
      <c r="V96" s="398"/>
      <c r="W96" s="398"/>
      <c r="X96" s="398"/>
      <c r="Y96" s="398"/>
      <c r="Z96" s="398"/>
      <c r="AA96" s="398"/>
      <c r="AB96" s="398"/>
      <c r="AC96" s="398"/>
      <c r="AD96" s="398"/>
      <c r="AE96" s="398"/>
      <c r="AF96" s="398"/>
      <c r="AG96" s="398"/>
      <c r="AH96" s="398"/>
      <c r="AI96" s="398"/>
      <c r="AJ96" s="398"/>
      <c r="AK96" s="398"/>
      <c r="AL96" s="398"/>
      <c r="AM96" s="398"/>
      <c r="AN96" s="398"/>
      <c r="AO96" s="398"/>
    </row>
    <row r="97" spans="2:41" x14ac:dyDescent="0.2">
      <c r="B97" s="351"/>
      <c r="C97" s="367" t="s">
        <v>161</v>
      </c>
      <c r="D97" s="368">
        <f>SUMIF(E88:E93,"&lt;1071200",D88:D93)</f>
        <v>3</v>
      </c>
      <c r="E97" s="369">
        <f>Supuestos!E23</f>
        <v>0</v>
      </c>
      <c r="F97" s="369">
        <f>D97*E97*Supuestos!$E$12</f>
        <v>0</v>
      </c>
      <c r="G97" s="368">
        <f>SUMIF(H88:H93,"&lt;1153361",G88:G93)</f>
        <v>3</v>
      </c>
      <c r="H97" s="369">
        <f>Supuestos!F23</f>
        <v>0</v>
      </c>
      <c r="I97" s="369">
        <f>G97*H97*Supuestos!$F$12</f>
        <v>0</v>
      </c>
      <c r="J97" s="368">
        <f>SUMIF(K88:K93,"&lt;1240670",J88:J93)</f>
        <v>3</v>
      </c>
      <c r="K97" s="369">
        <f>Supuestos!G23</f>
        <v>0</v>
      </c>
      <c r="L97" s="369">
        <f>J97*K97*Supuestos!$G$12</f>
        <v>0</v>
      </c>
      <c r="M97" s="368">
        <f>SUMIF(N88:N93,"&lt;1321686",M88:M93)</f>
        <v>3</v>
      </c>
      <c r="N97" s="369">
        <f>Supuestos!H23</f>
        <v>0</v>
      </c>
      <c r="O97" s="369">
        <f>M97*N97*Supuestos!$H$12</f>
        <v>0</v>
      </c>
      <c r="P97" s="368">
        <f>SUMIF(Q88:Q93,"&lt;1398873",P88:P93)</f>
        <v>3</v>
      </c>
      <c r="Q97" s="369">
        <f>Supuestos!I23</f>
        <v>0</v>
      </c>
      <c r="R97" s="369">
        <f>P97*Q97*Supuestos!$I$12</f>
        <v>0</v>
      </c>
      <c r="S97" s="353"/>
      <c r="V97" s="347"/>
    </row>
    <row r="98" spans="2:41" x14ac:dyDescent="0.2">
      <c r="B98" s="351"/>
      <c r="C98" s="367" t="s">
        <v>169</v>
      </c>
      <c r="D98" s="370"/>
      <c r="E98" s="362"/>
      <c r="F98" s="370">
        <f>(F96+F97)*Supuestos!E$25</f>
        <v>20271758.932799999</v>
      </c>
      <c r="G98" s="370"/>
      <c r="H98" s="362"/>
      <c r="I98" s="370">
        <f>(I96+I97)*Supuestos!F$25</f>
        <v>21001542.254380796</v>
      </c>
      <c r="J98" s="370"/>
      <c r="K98" s="362"/>
      <c r="L98" s="370">
        <f>(L96+L97)*Supuestos!$G$25</f>
        <v>21883607.029064789</v>
      </c>
      <c r="M98" s="370"/>
      <c r="N98" s="362"/>
      <c r="O98" s="370">
        <f>(O96+O97)*Supuestos!$H$25</f>
        <v>22934020.166459907</v>
      </c>
      <c r="P98" s="370"/>
      <c r="Q98" s="362"/>
      <c r="R98" s="370">
        <f>(R96+R97)*Supuestos!$I$25</f>
        <v>24172457.25544874</v>
      </c>
      <c r="S98" s="353"/>
    </row>
    <row r="99" spans="2:41" s="9" customFormat="1" x14ac:dyDescent="0.2">
      <c r="B99" s="396"/>
      <c r="C99" s="371" t="s">
        <v>91</v>
      </c>
      <c r="D99" s="372"/>
      <c r="E99" s="399"/>
      <c r="F99" s="372">
        <f>SUM(F96:F98)</f>
        <v>54058023.820799991</v>
      </c>
      <c r="G99" s="372"/>
      <c r="H99" s="399"/>
      <c r="I99" s="372">
        <f>SUM(I96:I98)</f>
        <v>56004112.678348795</v>
      </c>
      <c r="J99" s="372"/>
      <c r="K99" s="399"/>
      <c r="L99" s="372">
        <f>SUM(L96:L98)</f>
        <v>58356285.410839438</v>
      </c>
      <c r="M99" s="372"/>
      <c r="N99" s="399"/>
      <c r="O99" s="372">
        <f>SUM(O96:O98)</f>
        <v>61157387.110559747</v>
      </c>
      <c r="P99" s="372"/>
      <c r="Q99" s="399"/>
      <c r="R99" s="372">
        <f>SUM(R96:R98)</f>
        <v>64459886.014529973</v>
      </c>
      <c r="S99" s="397"/>
      <c r="T99" s="398"/>
      <c r="U99" s="398"/>
      <c r="V99" s="398"/>
      <c r="W99" s="398"/>
      <c r="X99" s="398"/>
      <c r="Y99" s="398"/>
      <c r="Z99" s="398"/>
      <c r="AA99" s="398"/>
      <c r="AB99" s="398"/>
      <c r="AC99" s="398"/>
      <c r="AD99" s="398"/>
      <c r="AE99" s="398"/>
      <c r="AF99" s="398"/>
      <c r="AG99" s="398"/>
      <c r="AH99" s="398"/>
      <c r="AI99" s="398"/>
      <c r="AJ99" s="398"/>
      <c r="AK99" s="398"/>
      <c r="AL99" s="398"/>
      <c r="AM99" s="398"/>
      <c r="AN99" s="398"/>
      <c r="AO99" s="398"/>
    </row>
    <row r="100" spans="2:41" x14ac:dyDescent="0.2">
      <c r="B100" s="351"/>
      <c r="C100" s="375"/>
      <c r="D100" s="375"/>
      <c r="E100" s="375"/>
      <c r="F100" s="375"/>
      <c r="G100" s="375"/>
      <c r="H100" s="375"/>
      <c r="I100" s="375"/>
      <c r="J100" s="375"/>
      <c r="K100" s="375"/>
      <c r="L100" s="375"/>
      <c r="M100" s="375"/>
      <c r="N100" s="375"/>
      <c r="O100" s="375"/>
      <c r="P100" s="375"/>
      <c r="Q100" s="375"/>
      <c r="R100" s="375"/>
      <c r="S100" s="353"/>
    </row>
    <row r="101" spans="2:41" ht="25.5" x14ac:dyDescent="0.2">
      <c r="B101" s="351"/>
      <c r="C101" s="354" t="s">
        <v>106</v>
      </c>
      <c r="D101" s="354" t="s">
        <v>35</v>
      </c>
      <c r="E101" s="354" t="s">
        <v>36</v>
      </c>
      <c r="F101" s="354" t="s">
        <v>37</v>
      </c>
      <c r="G101" s="354" t="s">
        <v>35</v>
      </c>
      <c r="H101" s="354" t="s">
        <v>36</v>
      </c>
      <c r="I101" s="354" t="s">
        <v>37</v>
      </c>
      <c r="J101" s="354" t="s">
        <v>35</v>
      </c>
      <c r="K101" s="354" t="s">
        <v>36</v>
      </c>
      <c r="L101" s="354" t="s">
        <v>37</v>
      </c>
      <c r="M101" s="354" t="s">
        <v>35</v>
      </c>
      <c r="N101" s="354" t="s">
        <v>36</v>
      </c>
      <c r="O101" s="354" t="s">
        <v>37</v>
      </c>
      <c r="P101" s="354" t="s">
        <v>35</v>
      </c>
      <c r="Q101" s="354" t="s">
        <v>36</v>
      </c>
      <c r="R101" s="354" t="s">
        <v>37</v>
      </c>
      <c r="S101" s="353"/>
    </row>
    <row r="102" spans="2:41" x14ac:dyDescent="0.2">
      <c r="B102" s="351"/>
      <c r="C102" s="354" t="s">
        <v>246</v>
      </c>
      <c r="D102" s="780" t="s">
        <v>326</v>
      </c>
      <c r="E102" s="781"/>
      <c r="F102" s="782"/>
      <c r="G102" s="780" t="s">
        <v>327</v>
      </c>
      <c r="H102" s="781"/>
      <c r="I102" s="782"/>
      <c r="J102" s="780" t="s">
        <v>328</v>
      </c>
      <c r="K102" s="781"/>
      <c r="L102" s="782"/>
      <c r="M102" s="780" t="s">
        <v>329</v>
      </c>
      <c r="N102" s="781"/>
      <c r="O102" s="782"/>
      <c r="P102" s="780" t="s">
        <v>393</v>
      </c>
      <c r="Q102" s="781"/>
      <c r="R102" s="782"/>
      <c r="S102" s="353"/>
    </row>
    <row r="103" spans="2:41" x14ac:dyDescent="0.2">
      <c r="B103" s="351"/>
      <c r="C103" s="395" t="str">
        <f>+C29</f>
        <v>Carguero de apoyo ocasional</v>
      </c>
      <c r="D103" s="342">
        <v>1</v>
      </c>
      <c r="E103" s="362">
        <f>AL29*(1+Supuestos!$D$20)</f>
        <v>1239600</v>
      </c>
      <c r="F103" s="356">
        <f>D103*E103*Supuestos!$E$12</f>
        <v>14875200</v>
      </c>
      <c r="G103" s="342">
        <v>1</v>
      </c>
      <c r="H103" s="362">
        <f>+E103*(1+Supuestos!$E$20)</f>
        <v>1284225.6000000001</v>
      </c>
      <c r="I103" s="356">
        <f>G103*H103*Supuestos!$F$12</f>
        <v>15410707.200000001</v>
      </c>
      <c r="J103" s="342">
        <v>1</v>
      </c>
      <c r="K103" s="362">
        <f>+H103*(1+Supuestos!$F$20)</f>
        <v>1338163.0752000001</v>
      </c>
      <c r="L103" s="356">
        <f>J103*K103*Supuestos!$G$12</f>
        <v>16057956.902400002</v>
      </c>
      <c r="M103" s="342">
        <v>1</v>
      </c>
      <c r="N103" s="362">
        <f>+K103*(1+Supuestos!$G$20)</f>
        <v>1402394.9028096001</v>
      </c>
      <c r="O103" s="356">
        <f>M103*N103*Supuestos!$H$12</f>
        <v>16828738.8337152</v>
      </c>
      <c r="P103" s="342">
        <v>1</v>
      </c>
      <c r="Q103" s="362">
        <f>+N103*(1+Supuestos!$H$20)</f>
        <v>1478124.2275613185</v>
      </c>
      <c r="R103" s="356">
        <f>P103*Q103*Supuestos!$I$12</f>
        <v>17737490.730735824</v>
      </c>
      <c r="S103" s="353"/>
      <c r="V103" s="347"/>
    </row>
    <row r="104" spans="2:41" x14ac:dyDescent="0.2">
      <c r="B104" s="351"/>
      <c r="C104" s="395">
        <f>+C30</f>
        <v>0</v>
      </c>
      <c r="D104" s="342"/>
      <c r="E104" s="362">
        <f>AL30*(1+Supuestos!$D$20)</f>
        <v>0</v>
      </c>
      <c r="F104" s="356">
        <f>D104*E104*Supuestos!$E$12</f>
        <v>0</v>
      </c>
      <c r="G104" s="342"/>
      <c r="H104" s="362">
        <f>+E104*(1+Supuestos!$E$20)</f>
        <v>0</v>
      </c>
      <c r="I104" s="356">
        <f>G104*H104*Supuestos!$F$12</f>
        <v>0</v>
      </c>
      <c r="J104" s="342"/>
      <c r="K104" s="362">
        <f>+H104*(1+Supuestos!$F$20)</f>
        <v>0</v>
      </c>
      <c r="L104" s="356">
        <f>J104*K104*Supuestos!$G$12</f>
        <v>0</v>
      </c>
      <c r="M104" s="342"/>
      <c r="N104" s="362">
        <f>+K104*(1+Supuestos!$G$20)</f>
        <v>0</v>
      </c>
      <c r="O104" s="356">
        <f>M104*N104*Supuestos!$H$12</f>
        <v>0</v>
      </c>
      <c r="P104" s="342"/>
      <c r="Q104" s="362">
        <f>+N104*(1+Supuestos!$H$20)</f>
        <v>0</v>
      </c>
      <c r="R104" s="356">
        <f>P104*Q104*Supuestos!$I$12</f>
        <v>0</v>
      </c>
      <c r="S104" s="353"/>
      <c r="V104" s="347"/>
    </row>
    <row r="105" spans="2:41" x14ac:dyDescent="0.2">
      <c r="B105" s="351"/>
      <c r="C105" s="395">
        <f t="shared" ref="C105:C108" si="97">+C31</f>
        <v>0</v>
      </c>
      <c r="D105" s="342"/>
      <c r="E105" s="362">
        <f>AL31*(1+Supuestos!$D$20)</f>
        <v>0</v>
      </c>
      <c r="F105" s="356">
        <f>D105*E105*Supuestos!$E$12</f>
        <v>0</v>
      </c>
      <c r="G105" s="342"/>
      <c r="H105" s="362">
        <f>+E105*(1+Supuestos!$E$20)</f>
        <v>0</v>
      </c>
      <c r="I105" s="356">
        <f>G105*H105*Supuestos!$F$12</f>
        <v>0</v>
      </c>
      <c r="J105" s="342"/>
      <c r="K105" s="362">
        <f>+H105*(1+Supuestos!$F$20)</f>
        <v>0</v>
      </c>
      <c r="L105" s="356">
        <f>J105*K105*Supuestos!$G$12</f>
        <v>0</v>
      </c>
      <c r="M105" s="342"/>
      <c r="N105" s="362">
        <f>+K105*(1+Supuestos!$G$20)</f>
        <v>0</v>
      </c>
      <c r="O105" s="356">
        <f>M105*N105*Supuestos!$H$12</f>
        <v>0</v>
      </c>
      <c r="P105" s="342"/>
      <c r="Q105" s="362">
        <f>+N105*(1+Supuestos!$H$20)</f>
        <v>0</v>
      </c>
      <c r="R105" s="356">
        <f>P105*Q105*Supuestos!$I$12</f>
        <v>0</v>
      </c>
      <c r="S105" s="353"/>
      <c r="V105" s="347"/>
    </row>
    <row r="106" spans="2:41" x14ac:dyDescent="0.2">
      <c r="B106" s="351"/>
      <c r="C106" s="395">
        <f t="shared" si="97"/>
        <v>0</v>
      </c>
      <c r="D106" s="342"/>
      <c r="E106" s="362">
        <f>AL32*(1+Supuestos!$D$20)</f>
        <v>0</v>
      </c>
      <c r="F106" s="356">
        <f>D106*E106*Supuestos!$E$12</f>
        <v>0</v>
      </c>
      <c r="G106" s="342"/>
      <c r="H106" s="362">
        <f>+E106*(1+Supuestos!$E$20)</f>
        <v>0</v>
      </c>
      <c r="I106" s="356">
        <f>G106*H106*Supuestos!$F$12</f>
        <v>0</v>
      </c>
      <c r="J106" s="342"/>
      <c r="K106" s="362">
        <f>+H106*(1+Supuestos!$F$20)</f>
        <v>0</v>
      </c>
      <c r="L106" s="356">
        <f>J106*K106*Supuestos!$G$12</f>
        <v>0</v>
      </c>
      <c r="M106" s="342"/>
      <c r="N106" s="362">
        <f>+K106*(1+Supuestos!$G$20)</f>
        <v>0</v>
      </c>
      <c r="O106" s="356">
        <f>M106*N106*Supuestos!$H$12</f>
        <v>0</v>
      </c>
      <c r="P106" s="342"/>
      <c r="Q106" s="362">
        <f>+N106*(1+Supuestos!$H$20)</f>
        <v>0</v>
      </c>
      <c r="R106" s="356">
        <f>P106*Q106*Supuestos!$I$12</f>
        <v>0</v>
      </c>
      <c r="S106" s="353"/>
      <c r="V106" s="347"/>
    </row>
    <row r="107" spans="2:41" x14ac:dyDescent="0.2">
      <c r="B107" s="351"/>
      <c r="C107" s="395">
        <f t="shared" si="97"/>
        <v>0</v>
      </c>
      <c r="D107" s="342"/>
      <c r="E107" s="362">
        <f>AL33*(1+Supuestos!$D$20)</f>
        <v>0</v>
      </c>
      <c r="F107" s="356">
        <f>D107*E107*Supuestos!$E$12</f>
        <v>0</v>
      </c>
      <c r="G107" s="342"/>
      <c r="H107" s="362">
        <f>+E107*(1+Supuestos!$E$20)</f>
        <v>0</v>
      </c>
      <c r="I107" s="356">
        <f>G107*H107*Supuestos!$F$12</f>
        <v>0</v>
      </c>
      <c r="J107" s="342"/>
      <c r="K107" s="362">
        <f>+H107*(1+Supuestos!$F$20)</f>
        <v>0</v>
      </c>
      <c r="L107" s="356">
        <f>J107*K107*Supuestos!$G$12</f>
        <v>0</v>
      </c>
      <c r="M107" s="342"/>
      <c r="N107" s="362">
        <f>+K107*(1+Supuestos!$G$20)</f>
        <v>0</v>
      </c>
      <c r="O107" s="356">
        <f>M107*N107*Supuestos!$H$12</f>
        <v>0</v>
      </c>
      <c r="P107" s="342"/>
      <c r="Q107" s="362">
        <f>+N107*(1+Supuestos!$H$20)</f>
        <v>0</v>
      </c>
      <c r="R107" s="356">
        <f>P107*Q107*Supuestos!$I$12</f>
        <v>0</v>
      </c>
      <c r="S107" s="353"/>
      <c r="V107" s="347"/>
    </row>
    <row r="108" spans="2:41" x14ac:dyDescent="0.2">
      <c r="B108" s="351"/>
      <c r="C108" s="395">
        <f t="shared" si="97"/>
        <v>0</v>
      </c>
      <c r="D108" s="342"/>
      <c r="E108" s="362">
        <f>AL34*(1+Supuestos!$D$20)</f>
        <v>0</v>
      </c>
      <c r="F108" s="356">
        <f>+E108*12</f>
        <v>0</v>
      </c>
      <c r="G108" s="342"/>
      <c r="H108" s="362">
        <f>+E108*(1+Supuestos!$E$20)</f>
        <v>0</v>
      </c>
      <c r="I108" s="356">
        <f>G108*H108*Supuestos!$F$12</f>
        <v>0</v>
      </c>
      <c r="J108" s="342"/>
      <c r="K108" s="362">
        <f>+H108*(1+Supuestos!$F$20)</f>
        <v>0</v>
      </c>
      <c r="L108" s="356">
        <f>J108*K108*Supuestos!$G$12</f>
        <v>0</v>
      </c>
      <c r="M108" s="342"/>
      <c r="N108" s="362">
        <f>+K108*(1+Supuestos!$G$20)</f>
        <v>0</v>
      </c>
      <c r="O108" s="356">
        <f>+N108*12</f>
        <v>0</v>
      </c>
      <c r="P108" s="342"/>
      <c r="Q108" s="362">
        <f>+N108*(1+Supuestos!$H$20)</f>
        <v>0</v>
      </c>
      <c r="R108" s="356">
        <f>+Q108*12</f>
        <v>0</v>
      </c>
      <c r="S108" s="353"/>
      <c r="V108" s="347"/>
    </row>
    <row r="109" spans="2:41" x14ac:dyDescent="0.2">
      <c r="B109" s="351"/>
      <c r="C109" s="358"/>
      <c r="D109" s="359">
        <f>SUM(D103:D108)</f>
        <v>1</v>
      </c>
      <c r="E109" s="362"/>
      <c r="F109" s="356"/>
      <c r="G109" s="359">
        <f>SUM(G103:G108)</f>
        <v>1</v>
      </c>
      <c r="H109" s="362"/>
      <c r="I109" s="356"/>
      <c r="J109" s="359">
        <f>SUM(J103:J108)</f>
        <v>1</v>
      </c>
      <c r="K109" s="362"/>
      <c r="L109" s="356"/>
      <c r="M109" s="359">
        <f>SUM(M103:M108)</f>
        <v>1</v>
      </c>
      <c r="N109" s="362"/>
      <c r="O109" s="356"/>
      <c r="P109" s="359">
        <f>SUM(P103:P108)</f>
        <v>1</v>
      </c>
      <c r="Q109" s="362"/>
      <c r="R109" s="356"/>
      <c r="S109" s="353"/>
    </row>
    <row r="110" spans="2:41" x14ac:dyDescent="0.2">
      <c r="B110" s="351"/>
      <c r="C110" s="358"/>
      <c r="D110" s="362"/>
      <c r="E110" s="362"/>
      <c r="F110" s="356"/>
      <c r="G110" s="362"/>
      <c r="H110" s="362"/>
      <c r="I110" s="356"/>
      <c r="J110" s="362"/>
      <c r="K110" s="362"/>
      <c r="L110" s="356"/>
      <c r="M110" s="362"/>
      <c r="N110" s="362"/>
      <c r="O110" s="356"/>
      <c r="P110" s="362"/>
      <c r="Q110" s="362"/>
      <c r="R110" s="356"/>
      <c r="S110" s="353"/>
    </row>
    <row r="111" spans="2:41" x14ac:dyDescent="0.2">
      <c r="B111" s="351"/>
      <c r="C111" s="364" t="s">
        <v>108</v>
      </c>
      <c r="D111" s="365"/>
      <c r="E111" s="362"/>
      <c r="F111" s="365">
        <f>SUM(F103:F108)</f>
        <v>14875200</v>
      </c>
      <c r="G111" s="365"/>
      <c r="H111" s="362"/>
      <c r="I111" s="365">
        <f>SUM(I103:I108)</f>
        <v>15410707.200000001</v>
      </c>
      <c r="J111" s="365"/>
      <c r="K111" s="362"/>
      <c r="L111" s="365">
        <f>SUM(L103:L108)</f>
        <v>16057956.902400002</v>
      </c>
      <c r="M111" s="365"/>
      <c r="N111" s="362"/>
      <c r="O111" s="365">
        <f>SUM(O103:O108)</f>
        <v>16828738.8337152</v>
      </c>
      <c r="P111" s="365"/>
      <c r="Q111" s="362"/>
      <c r="R111" s="365">
        <f>SUM(R103:R108)</f>
        <v>17737490.730735824</v>
      </c>
      <c r="S111" s="353"/>
    </row>
    <row r="112" spans="2:41" x14ac:dyDescent="0.2">
      <c r="B112" s="351"/>
      <c r="C112" s="367" t="s">
        <v>161</v>
      </c>
      <c r="D112" s="368">
        <f>SUMIF(E103:E108,"&lt;988810",D103:D108)</f>
        <v>0</v>
      </c>
      <c r="E112" s="369">
        <f>E97</f>
        <v>0</v>
      </c>
      <c r="F112" s="370">
        <f>D112*E112*Supuestos!$E$12</f>
        <v>0</v>
      </c>
      <c r="G112" s="368">
        <f>SUMIF(H103:H108,"&lt;1051006",G103:G108)</f>
        <v>0</v>
      </c>
      <c r="H112" s="369">
        <f>H97</f>
        <v>0</v>
      </c>
      <c r="I112" s="370">
        <f>G112*H112*Supuestos!$F$12</f>
        <v>0</v>
      </c>
      <c r="J112" s="368">
        <f>SUMIF(K103:K108,"&lt;1116064",J103:J108)</f>
        <v>0</v>
      </c>
      <c r="K112" s="369">
        <f>K97</f>
        <v>0</v>
      </c>
      <c r="L112" s="370">
        <f>J112*K112*Supuestos!$G$12</f>
        <v>0</v>
      </c>
      <c r="M112" s="368">
        <f>SUMIF(N103:N108,"&lt;1183027",M103:M108)</f>
        <v>0</v>
      </c>
      <c r="N112" s="369">
        <f>N97</f>
        <v>0</v>
      </c>
      <c r="O112" s="370">
        <f>M112*N112*Supuestos!$H$12</f>
        <v>0</v>
      </c>
      <c r="P112" s="368">
        <f>SUMIF(Q103:Q108,"&lt;1252000",P103:P108)</f>
        <v>0</v>
      </c>
      <c r="Q112" s="369">
        <f>Q97</f>
        <v>0</v>
      </c>
      <c r="R112" s="370">
        <f>P112*Q112*Supuestos!$I$12</f>
        <v>0</v>
      </c>
      <c r="S112" s="353"/>
    </row>
    <row r="113" spans="2:41" x14ac:dyDescent="0.2">
      <c r="B113" s="351"/>
      <c r="C113" s="367" t="s">
        <v>169</v>
      </c>
      <c r="D113" s="370"/>
      <c r="E113" s="362"/>
      <c r="F113" s="370">
        <f>(F111+F112)*Supuestos!E$25</f>
        <v>8925120</v>
      </c>
      <c r="G113" s="370"/>
      <c r="H113" s="362"/>
      <c r="I113" s="370">
        <f>(I111+I112)*Supuestos!F$25</f>
        <v>9246424.3200000003</v>
      </c>
      <c r="J113" s="370"/>
      <c r="K113" s="362"/>
      <c r="L113" s="370">
        <f>(L111+L112)*Supuestos!$G$25</f>
        <v>9634774.1414400004</v>
      </c>
      <c r="M113" s="370"/>
      <c r="N113" s="362"/>
      <c r="O113" s="370">
        <f>(O111+O112)*Supuestos!$H$25</f>
        <v>10097243.300229119</v>
      </c>
      <c r="P113" s="370"/>
      <c r="Q113" s="362"/>
      <c r="R113" s="370">
        <f>(R111+R112)*Supuestos!$I$25</f>
        <v>10642494.438441494</v>
      </c>
      <c r="S113" s="353"/>
    </row>
    <row r="114" spans="2:41" x14ac:dyDescent="0.2">
      <c r="B114" s="351"/>
      <c r="C114" s="371" t="s">
        <v>248</v>
      </c>
      <c r="D114" s="372"/>
      <c r="E114" s="399"/>
      <c r="F114" s="372">
        <f>SUM(F111:F113)</f>
        <v>23800320</v>
      </c>
      <c r="G114" s="372"/>
      <c r="H114" s="399"/>
      <c r="I114" s="372">
        <f>SUM(I111:I113)</f>
        <v>24657131.520000003</v>
      </c>
      <c r="J114" s="372"/>
      <c r="K114" s="399"/>
      <c r="L114" s="372">
        <f>SUM(L111:L113)</f>
        <v>25692731.043840002</v>
      </c>
      <c r="M114" s="372"/>
      <c r="N114" s="399"/>
      <c r="O114" s="372">
        <f>SUM(O111:O113)</f>
        <v>26925982.133944318</v>
      </c>
      <c r="P114" s="372"/>
      <c r="Q114" s="399"/>
      <c r="R114" s="372">
        <f>SUM(R111:R113)</f>
        <v>28379985.169177316</v>
      </c>
      <c r="S114" s="353"/>
    </row>
    <row r="115" spans="2:41" ht="13.5" thickBot="1" x14ac:dyDescent="0.25">
      <c r="B115" s="376"/>
      <c r="C115" s="379"/>
      <c r="D115" s="379"/>
      <c r="E115" s="379"/>
      <c r="F115" s="379"/>
      <c r="G115" s="379"/>
      <c r="H115" s="379"/>
      <c r="I115" s="379"/>
      <c r="J115" s="379"/>
      <c r="K115" s="379"/>
      <c r="L115" s="379"/>
      <c r="M115" s="379"/>
      <c r="N115" s="379"/>
      <c r="O115" s="379"/>
      <c r="P115" s="379"/>
      <c r="Q115" s="379"/>
      <c r="R115" s="379"/>
      <c r="S115" s="380"/>
    </row>
    <row r="116" spans="2:41" s="9" customFormat="1" x14ac:dyDescent="0.2">
      <c r="B116" s="398"/>
      <c r="C116" s="373"/>
      <c r="D116" s="374"/>
      <c r="E116" s="374"/>
      <c r="F116" s="374"/>
      <c r="G116" s="374"/>
      <c r="H116" s="374"/>
      <c r="I116" s="374"/>
      <c r="J116" s="374"/>
      <c r="K116" s="374"/>
      <c r="L116" s="374"/>
      <c r="M116" s="374"/>
      <c r="N116" s="400"/>
      <c r="O116" s="374"/>
      <c r="P116" s="374"/>
      <c r="Q116" s="374"/>
      <c r="R116" s="374"/>
      <c r="S116" s="398"/>
      <c r="T116" s="398"/>
      <c r="U116" s="398"/>
      <c r="V116" s="398"/>
      <c r="W116" s="398"/>
      <c r="X116" s="398"/>
      <c r="Y116" s="398"/>
      <c r="Z116" s="398"/>
      <c r="AA116" s="398"/>
      <c r="AB116" s="398"/>
      <c r="AC116" s="398"/>
      <c r="AD116" s="398"/>
      <c r="AE116" s="398"/>
      <c r="AF116" s="398"/>
      <c r="AG116" s="398"/>
      <c r="AH116" s="398"/>
      <c r="AI116" s="398"/>
      <c r="AJ116" s="398"/>
      <c r="AK116" s="398"/>
      <c r="AL116" s="398"/>
      <c r="AM116" s="398"/>
      <c r="AN116" s="398"/>
      <c r="AO116" s="398"/>
    </row>
    <row r="117" spans="2:41" s="9" customFormat="1" ht="13.5" thickBot="1" x14ac:dyDescent="0.25">
      <c r="B117" s="398"/>
      <c r="C117" s="373"/>
      <c r="D117" s="401"/>
      <c r="E117" s="402"/>
      <c r="F117" s="401"/>
      <c r="G117" s="401"/>
      <c r="H117" s="402"/>
      <c r="I117" s="374"/>
      <c r="J117" s="374"/>
      <c r="K117" s="400"/>
      <c r="L117" s="374"/>
      <c r="M117" s="374"/>
      <c r="N117" s="400"/>
      <c r="O117" s="374"/>
      <c r="P117" s="374"/>
      <c r="Q117" s="374"/>
      <c r="R117" s="374"/>
      <c r="S117" s="398"/>
      <c r="T117" s="398"/>
      <c r="U117" s="398"/>
      <c r="V117" s="398"/>
      <c r="W117" s="398"/>
      <c r="X117" s="398"/>
      <c r="Y117" s="398"/>
      <c r="Z117" s="398"/>
      <c r="AA117" s="398"/>
      <c r="AB117" s="398"/>
      <c r="AC117" s="398"/>
      <c r="AD117" s="398"/>
      <c r="AE117" s="398"/>
      <c r="AF117" s="398"/>
      <c r="AG117" s="398"/>
      <c r="AH117" s="398"/>
      <c r="AI117" s="398"/>
      <c r="AJ117" s="398"/>
      <c r="AK117" s="398"/>
      <c r="AL117" s="398"/>
      <c r="AM117" s="398"/>
      <c r="AN117" s="398"/>
      <c r="AO117" s="398"/>
    </row>
    <row r="118" spans="2:41" s="10" customFormat="1" x14ac:dyDescent="0.2">
      <c r="B118" s="403"/>
      <c r="C118" s="383"/>
      <c r="D118" s="384"/>
      <c r="E118" s="404"/>
      <c r="F118" s="384"/>
      <c r="G118" s="384"/>
      <c r="H118" s="404"/>
      <c r="I118" s="384"/>
      <c r="J118" s="384"/>
      <c r="K118" s="404"/>
      <c r="L118" s="384"/>
      <c r="M118" s="384"/>
      <c r="N118" s="404"/>
      <c r="O118" s="384"/>
      <c r="P118" s="384"/>
      <c r="Q118" s="384"/>
      <c r="R118" s="384"/>
      <c r="S118" s="405"/>
      <c r="T118" s="406"/>
      <c r="U118" s="406"/>
      <c r="V118" s="406"/>
      <c r="W118" s="406"/>
      <c r="X118" s="406"/>
      <c r="Y118" s="406"/>
      <c r="Z118" s="406"/>
      <c r="AA118" s="406"/>
      <c r="AB118" s="406"/>
      <c r="AC118" s="406"/>
      <c r="AD118" s="406"/>
      <c r="AE118" s="406"/>
      <c r="AF118" s="406"/>
      <c r="AG118" s="406"/>
      <c r="AH118" s="406"/>
      <c r="AI118" s="406"/>
      <c r="AJ118" s="406"/>
      <c r="AK118" s="406"/>
      <c r="AL118" s="406"/>
      <c r="AM118" s="406"/>
      <c r="AN118" s="406"/>
      <c r="AO118" s="406"/>
    </row>
    <row r="119" spans="2:41" ht="25.5" x14ac:dyDescent="0.2">
      <c r="B119" s="351"/>
      <c r="C119" s="354" t="s">
        <v>106</v>
      </c>
      <c r="D119" s="354" t="s">
        <v>35</v>
      </c>
      <c r="E119" s="354" t="s">
        <v>36</v>
      </c>
      <c r="F119" s="354" t="s">
        <v>37</v>
      </c>
      <c r="G119" s="354" t="s">
        <v>35</v>
      </c>
      <c r="H119" s="354" t="s">
        <v>36</v>
      </c>
      <c r="I119" s="354" t="s">
        <v>37</v>
      </c>
      <c r="J119" s="354" t="s">
        <v>35</v>
      </c>
      <c r="K119" s="354" t="s">
        <v>36</v>
      </c>
      <c r="L119" s="354" t="s">
        <v>37</v>
      </c>
      <c r="M119" s="354" t="s">
        <v>35</v>
      </c>
      <c r="N119" s="354" t="s">
        <v>36</v>
      </c>
      <c r="O119" s="354" t="s">
        <v>37</v>
      </c>
      <c r="P119" s="354" t="s">
        <v>35</v>
      </c>
      <c r="Q119" s="354" t="s">
        <v>36</v>
      </c>
      <c r="R119" s="354" t="s">
        <v>37</v>
      </c>
      <c r="S119" s="353"/>
    </row>
    <row r="120" spans="2:41" x14ac:dyDescent="0.2">
      <c r="B120" s="351"/>
      <c r="C120" s="354" t="s">
        <v>38</v>
      </c>
      <c r="D120" s="780" t="s">
        <v>326</v>
      </c>
      <c r="E120" s="781"/>
      <c r="F120" s="782"/>
      <c r="G120" s="780" t="s">
        <v>327</v>
      </c>
      <c r="H120" s="781"/>
      <c r="I120" s="782"/>
      <c r="J120" s="780" t="s">
        <v>328</v>
      </c>
      <c r="K120" s="781"/>
      <c r="L120" s="782"/>
      <c r="M120" s="780" t="s">
        <v>329</v>
      </c>
      <c r="N120" s="781"/>
      <c r="O120" s="782"/>
      <c r="P120" s="780" t="s">
        <v>393</v>
      </c>
      <c r="Q120" s="781"/>
      <c r="R120" s="782"/>
      <c r="S120" s="353"/>
    </row>
    <row r="121" spans="2:41" x14ac:dyDescent="0.2">
      <c r="B121" s="351"/>
      <c r="C121" s="395" t="str">
        <f t="shared" ref="C121:C126" si="98">+C48</f>
        <v>Administrador</v>
      </c>
      <c r="D121" s="342">
        <v>1</v>
      </c>
      <c r="E121" s="362">
        <f>+AL48*(1+Supuestos!$D$20)</f>
        <v>2545312</v>
      </c>
      <c r="F121" s="356">
        <f>D121*E121*Supuestos!$E$12</f>
        <v>30543744</v>
      </c>
      <c r="G121" s="342">
        <v>1</v>
      </c>
      <c r="H121" s="362">
        <f>+E121*(1+Supuestos!$E$20)</f>
        <v>2636943.2320000003</v>
      </c>
      <c r="I121" s="356">
        <f>G121*H121*Supuestos!$F$12</f>
        <v>31643318.784000002</v>
      </c>
      <c r="J121" s="342">
        <v>1</v>
      </c>
      <c r="K121" s="362">
        <f>+H121*(1+Supuestos!$F$20)</f>
        <v>2747694.8477440006</v>
      </c>
      <c r="L121" s="356">
        <f>J121*K121*Supuestos!$G$12</f>
        <v>32972338.172928005</v>
      </c>
      <c r="M121" s="342">
        <v>1</v>
      </c>
      <c r="N121" s="362">
        <f>+K121*(1+Supuestos!$G$20)</f>
        <v>2879584.2004357129</v>
      </c>
      <c r="O121" s="356">
        <f>M121*N121*Supuestos!$H$12</f>
        <v>34555010.405228555</v>
      </c>
      <c r="P121" s="342">
        <v>1</v>
      </c>
      <c r="Q121" s="362">
        <f>+N121*(1+Supuestos!$H$20)</f>
        <v>3035081.7472592415</v>
      </c>
      <c r="R121" s="356">
        <f>P121*Q121*Supuestos!$I$12</f>
        <v>36420980.967110902</v>
      </c>
      <c r="S121" s="353"/>
      <c r="V121" s="347"/>
    </row>
    <row r="122" spans="2:41" x14ac:dyDescent="0.2">
      <c r="B122" s="351"/>
      <c r="C122" s="395">
        <f t="shared" si="98"/>
        <v>0</v>
      </c>
      <c r="D122" s="342"/>
      <c r="E122" s="362">
        <f>+AL49*(1+Supuestos!$D$20)</f>
        <v>0</v>
      </c>
      <c r="F122" s="356">
        <f>D122*E122*Supuestos!$E$12</f>
        <v>0</v>
      </c>
      <c r="G122" s="342"/>
      <c r="H122" s="362">
        <f>+E122*(1+Supuestos!$E$20)</f>
        <v>0</v>
      </c>
      <c r="I122" s="356">
        <f>G122*H122*Supuestos!$F$12</f>
        <v>0</v>
      </c>
      <c r="J122" s="342"/>
      <c r="K122" s="362">
        <f>+H122*(1+Supuestos!$F$20)</f>
        <v>0</v>
      </c>
      <c r="L122" s="356">
        <f>J122*K122*Supuestos!$G$12</f>
        <v>0</v>
      </c>
      <c r="M122" s="342"/>
      <c r="N122" s="362">
        <f>+K122*(1+Supuestos!$G$20)</f>
        <v>0</v>
      </c>
      <c r="O122" s="356">
        <f>M122*N122*Supuestos!$H$12</f>
        <v>0</v>
      </c>
      <c r="P122" s="342"/>
      <c r="Q122" s="362">
        <f>+N122*(1+Supuestos!$H$20)</f>
        <v>0</v>
      </c>
      <c r="R122" s="356">
        <f>P122*Q122*Supuestos!$I$12</f>
        <v>0</v>
      </c>
      <c r="S122" s="353"/>
      <c r="V122" s="347"/>
    </row>
    <row r="123" spans="2:41" x14ac:dyDescent="0.2">
      <c r="B123" s="351"/>
      <c r="C123" s="395">
        <f t="shared" si="98"/>
        <v>0</v>
      </c>
      <c r="D123" s="342"/>
      <c r="E123" s="362">
        <f>+AL50*(1+Supuestos!$D$20)</f>
        <v>0</v>
      </c>
      <c r="F123" s="356">
        <f>D123*E123*Supuestos!$E$12</f>
        <v>0</v>
      </c>
      <c r="G123" s="342"/>
      <c r="H123" s="362">
        <f>+E123*(1+Supuestos!$E$20)</f>
        <v>0</v>
      </c>
      <c r="I123" s="356">
        <f>G123*H123*Supuestos!$F$12</f>
        <v>0</v>
      </c>
      <c r="J123" s="342"/>
      <c r="K123" s="362">
        <f>+H123*(1+Supuestos!$F$20)</f>
        <v>0</v>
      </c>
      <c r="L123" s="356">
        <f>J123*K123*Supuestos!$G$12</f>
        <v>0</v>
      </c>
      <c r="M123" s="342"/>
      <c r="N123" s="362">
        <f>+K123*(1+Supuestos!$G$20)</f>
        <v>0</v>
      </c>
      <c r="O123" s="356">
        <f>M123*N123*Supuestos!$H$12</f>
        <v>0</v>
      </c>
      <c r="P123" s="342"/>
      <c r="Q123" s="362">
        <f>+N123*(1+Supuestos!$H$20)</f>
        <v>0</v>
      </c>
      <c r="R123" s="356">
        <f>P123*Q123*Supuestos!$I$12</f>
        <v>0</v>
      </c>
      <c r="S123" s="353"/>
      <c r="V123" s="347"/>
    </row>
    <row r="124" spans="2:41" x14ac:dyDescent="0.2">
      <c r="B124" s="351"/>
      <c r="C124" s="395">
        <f t="shared" si="98"/>
        <v>0</v>
      </c>
      <c r="D124" s="342"/>
      <c r="E124" s="362">
        <f>+AL51*(1+Supuestos!$D$20)</f>
        <v>0</v>
      </c>
      <c r="F124" s="356">
        <f>D124*E124*Supuestos!$E$12</f>
        <v>0</v>
      </c>
      <c r="G124" s="342"/>
      <c r="H124" s="362">
        <f>+E124*(1+Supuestos!$E$20)</f>
        <v>0</v>
      </c>
      <c r="I124" s="356">
        <f>G124*H124*Supuestos!$F$12</f>
        <v>0</v>
      </c>
      <c r="J124" s="342"/>
      <c r="K124" s="362">
        <f>+H124*(1+Supuestos!$F$20)</f>
        <v>0</v>
      </c>
      <c r="L124" s="356">
        <f>J124*K124*Supuestos!$G$12</f>
        <v>0</v>
      </c>
      <c r="M124" s="342"/>
      <c r="N124" s="362">
        <f>+K124*(1+Supuestos!$G$20)</f>
        <v>0</v>
      </c>
      <c r="O124" s="356">
        <f>M124*N124*Supuestos!$H$12</f>
        <v>0</v>
      </c>
      <c r="P124" s="342"/>
      <c r="Q124" s="362">
        <f>+N124*(1+Supuestos!$H$20)</f>
        <v>0</v>
      </c>
      <c r="R124" s="356">
        <f>P124*Q124*Supuestos!$I$12</f>
        <v>0</v>
      </c>
      <c r="S124" s="353"/>
      <c r="V124" s="347"/>
    </row>
    <row r="125" spans="2:41" x14ac:dyDescent="0.2">
      <c r="B125" s="351"/>
      <c r="C125" s="395">
        <f t="shared" si="98"/>
        <v>0</v>
      </c>
      <c r="D125" s="342"/>
      <c r="E125" s="362">
        <f>+AL52*(1+Supuestos!$D$20)</f>
        <v>0</v>
      </c>
      <c r="F125" s="356">
        <f>D125*E125*Supuestos!$E$12</f>
        <v>0</v>
      </c>
      <c r="G125" s="342"/>
      <c r="H125" s="362">
        <f>+E125*(1+Supuestos!$E$20)</f>
        <v>0</v>
      </c>
      <c r="I125" s="356">
        <f>G125*H125*Supuestos!$F$12</f>
        <v>0</v>
      </c>
      <c r="J125" s="342"/>
      <c r="K125" s="362">
        <f>+H125*(1+Supuestos!$F$20)</f>
        <v>0</v>
      </c>
      <c r="L125" s="356">
        <f>J125*K125*Supuestos!$G$12</f>
        <v>0</v>
      </c>
      <c r="M125" s="342"/>
      <c r="N125" s="362">
        <f>+K125*(1+Supuestos!$G$20)</f>
        <v>0</v>
      </c>
      <c r="O125" s="356">
        <f>M125*N125*Supuestos!$H$12</f>
        <v>0</v>
      </c>
      <c r="P125" s="342"/>
      <c r="Q125" s="362">
        <f>+N125*(1+Supuestos!$H$20)</f>
        <v>0</v>
      </c>
      <c r="R125" s="356">
        <f>P125*Q125*Supuestos!$I$12</f>
        <v>0</v>
      </c>
      <c r="S125" s="353"/>
      <c r="V125" s="347"/>
    </row>
    <row r="126" spans="2:41" x14ac:dyDescent="0.2">
      <c r="B126" s="351"/>
      <c r="C126" s="395">
        <f t="shared" si="98"/>
        <v>0</v>
      </c>
      <c r="D126" s="342"/>
      <c r="E126" s="362">
        <f>+AL53*(1+Supuestos!$D$20)</f>
        <v>0</v>
      </c>
      <c r="F126" s="356">
        <f>D126*E126*Supuestos!$E$12</f>
        <v>0</v>
      </c>
      <c r="G126" s="342"/>
      <c r="H126" s="362">
        <f>+E126*(1+Supuestos!$E$20)</f>
        <v>0</v>
      </c>
      <c r="I126" s="356">
        <f>G126*H126*Supuestos!$F$12</f>
        <v>0</v>
      </c>
      <c r="J126" s="342"/>
      <c r="K126" s="362">
        <f>+H126*(1+Supuestos!$F$20)</f>
        <v>0</v>
      </c>
      <c r="L126" s="356">
        <f>J126*K126*Supuestos!$G$12</f>
        <v>0</v>
      </c>
      <c r="M126" s="342"/>
      <c r="N126" s="362">
        <f>+K126*(1+Supuestos!$G$20)</f>
        <v>0</v>
      </c>
      <c r="O126" s="356">
        <f>M126*N126*Supuestos!$H$12</f>
        <v>0</v>
      </c>
      <c r="P126" s="342"/>
      <c r="Q126" s="362">
        <f>+N126*(1+Supuestos!$H$20)</f>
        <v>0</v>
      </c>
      <c r="R126" s="356">
        <f>P126*Q126*Supuestos!$I$12</f>
        <v>0</v>
      </c>
      <c r="S126" s="353"/>
      <c r="V126" s="347"/>
    </row>
    <row r="127" spans="2:41" x14ac:dyDescent="0.2">
      <c r="B127" s="351"/>
      <c r="C127" s="358"/>
      <c r="D127" s="359">
        <f>SUM(D121:D126)</f>
        <v>1</v>
      </c>
      <c r="E127" s="359"/>
      <c r="F127" s="361"/>
      <c r="G127" s="359">
        <f>SUM(G121:G126)</f>
        <v>1</v>
      </c>
      <c r="H127" s="359"/>
      <c r="I127" s="361"/>
      <c r="J127" s="359">
        <f>SUM(J121:J126)</f>
        <v>1</v>
      </c>
      <c r="K127" s="359"/>
      <c r="L127" s="361"/>
      <c r="M127" s="359">
        <f>SUM(M121:M126)</f>
        <v>1</v>
      </c>
      <c r="N127" s="359"/>
      <c r="O127" s="361"/>
      <c r="P127" s="359">
        <f>SUM(P121:P126)</f>
        <v>1</v>
      </c>
      <c r="Q127" s="359"/>
      <c r="R127" s="361"/>
      <c r="S127" s="353"/>
      <c r="V127" s="398"/>
    </row>
    <row r="128" spans="2:41" x14ac:dyDescent="0.2">
      <c r="B128" s="351"/>
      <c r="C128" s="358"/>
      <c r="D128" s="362"/>
      <c r="E128" s="362"/>
      <c r="F128" s="356"/>
      <c r="G128" s="362"/>
      <c r="H128" s="362"/>
      <c r="I128" s="356"/>
      <c r="J128" s="362"/>
      <c r="K128" s="362"/>
      <c r="L128" s="356"/>
      <c r="M128" s="362"/>
      <c r="N128" s="362"/>
      <c r="O128" s="356"/>
      <c r="P128" s="362"/>
      <c r="Q128" s="362"/>
      <c r="R128" s="356"/>
      <c r="S128" s="353"/>
    </row>
    <row r="129" spans="2:41" s="9" customFormat="1" x14ac:dyDescent="0.2">
      <c r="B129" s="396"/>
      <c r="C129" s="364" t="s">
        <v>108</v>
      </c>
      <c r="D129" s="365"/>
      <c r="E129" s="362"/>
      <c r="F129" s="365">
        <f>SUM(F121:F128)</f>
        <v>30543744</v>
      </c>
      <c r="G129" s="365"/>
      <c r="H129" s="362"/>
      <c r="I129" s="365">
        <f>SUM(I121:I128)</f>
        <v>31643318.784000002</v>
      </c>
      <c r="J129" s="365"/>
      <c r="K129" s="362"/>
      <c r="L129" s="365">
        <f>SUM(L121:L128)</f>
        <v>32972338.172928005</v>
      </c>
      <c r="M129" s="365"/>
      <c r="N129" s="362"/>
      <c r="O129" s="365">
        <f>SUM(O121:O128)</f>
        <v>34555010.405228555</v>
      </c>
      <c r="P129" s="365"/>
      <c r="Q129" s="362"/>
      <c r="R129" s="365">
        <f>SUM(R121:R128)</f>
        <v>36420980.967110902</v>
      </c>
      <c r="S129" s="397"/>
      <c r="T129" s="398"/>
      <c r="U129" s="398"/>
      <c r="V129" s="398"/>
      <c r="W129" s="398"/>
      <c r="X129" s="398"/>
      <c r="Y129" s="398"/>
      <c r="Z129" s="398"/>
      <c r="AA129" s="398"/>
      <c r="AB129" s="398"/>
      <c r="AC129" s="398"/>
      <c r="AD129" s="398"/>
      <c r="AE129" s="398"/>
      <c r="AF129" s="398"/>
      <c r="AG129" s="398"/>
      <c r="AH129" s="398"/>
      <c r="AI129" s="398"/>
      <c r="AJ129" s="398"/>
      <c r="AK129" s="398"/>
      <c r="AL129" s="398"/>
      <c r="AM129" s="398"/>
      <c r="AN129" s="398"/>
      <c r="AO129" s="398"/>
    </row>
    <row r="130" spans="2:41" x14ac:dyDescent="0.2">
      <c r="B130" s="351"/>
      <c r="C130" s="367" t="s">
        <v>161</v>
      </c>
      <c r="D130" s="368">
        <f>SUMIF(E121:E126,"&lt;1071200",D121:D126)</f>
        <v>0</v>
      </c>
      <c r="E130" s="369">
        <f>E112</f>
        <v>0</v>
      </c>
      <c r="F130" s="369">
        <f>D130*E130*Supuestos!$E$12</f>
        <v>0</v>
      </c>
      <c r="G130" s="368">
        <f>SUMIF(H121:H126,"&lt;1153361",G121:G126)</f>
        <v>0</v>
      </c>
      <c r="H130" s="369">
        <f>H112</f>
        <v>0</v>
      </c>
      <c r="I130" s="369">
        <f>G130*H130*Supuestos!$F$12</f>
        <v>0</v>
      </c>
      <c r="J130" s="368">
        <f>SUMIF(K121:K126,"&lt;1240670",J121:J126)</f>
        <v>0</v>
      </c>
      <c r="K130" s="369">
        <f>K112</f>
        <v>0</v>
      </c>
      <c r="L130" s="369">
        <f>J130*K130*Supuestos!$G$12</f>
        <v>0</v>
      </c>
      <c r="M130" s="368">
        <f>SUMIF(N121:N126,"&lt;1321686",M121:M126)</f>
        <v>0</v>
      </c>
      <c r="N130" s="369">
        <f>N112</f>
        <v>0</v>
      </c>
      <c r="O130" s="370">
        <f>M130*N130*Supuestos!$H$12</f>
        <v>0</v>
      </c>
      <c r="P130" s="368">
        <f>SUMIF(Q121:Q126,"&lt;1398873",P121:P126)</f>
        <v>0</v>
      </c>
      <c r="Q130" s="369">
        <f>Q112</f>
        <v>0</v>
      </c>
      <c r="R130" s="370">
        <f>P130*Q130*Supuestos!$I$12</f>
        <v>0</v>
      </c>
      <c r="S130" s="353"/>
      <c r="V130" s="347"/>
    </row>
    <row r="131" spans="2:41" x14ac:dyDescent="0.2">
      <c r="B131" s="351"/>
      <c r="C131" s="367" t="s">
        <v>169</v>
      </c>
      <c r="D131" s="370"/>
      <c r="E131" s="362"/>
      <c r="F131" s="370">
        <f>(F129+F130)*Supuestos!E$25</f>
        <v>18326246.399999999</v>
      </c>
      <c r="G131" s="370"/>
      <c r="H131" s="362"/>
      <c r="I131" s="370">
        <f>(I129+I130)*Supuestos!F$25</f>
        <v>18985991.270399999</v>
      </c>
      <c r="J131" s="370"/>
      <c r="K131" s="362"/>
      <c r="L131" s="370">
        <f>(L129+L130)*Supuestos!$G$25</f>
        <v>19783402.903756801</v>
      </c>
      <c r="M131" s="370"/>
      <c r="N131" s="362"/>
      <c r="O131" s="370">
        <f>(O129+O130)*Supuestos!$H$25</f>
        <v>20733006.243137132</v>
      </c>
      <c r="P131" s="370"/>
      <c r="Q131" s="362"/>
      <c r="R131" s="370">
        <f>(R129+R130)*Supuestos!$I$25</f>
        <v>21852588.580266539</v>
      </c>
      <c r="S131" s="353"/>
    </row>
    <row r="132" spans="2:41" s="16" customFormat="1" x14ac:dyDescent="0.2">
      <c r="B132" s="407"/>
      <c r="C132" s="372" t="s">
        <v>89</v>
      </c>
      <c r="D132" s="372"/>
      <c r="E132" s="372"/>
      <c r="F132" s="372">
        <f>SUM(F129:F131)</f>
        <v>48869990.399999999</v>
      </c>
      <c r="G132" s="372"/>
      <c r="H132" s="372"/>
      <c r="I132" s="372">
        <f>SUM(I129:I131)</f>
        <v>50629310.054399997</v>
      </c>
      <c r="J132" s="372"/>
      <c r="K132" s="372"/>
      <c r="L132" s="372">
        <f>SUM(L129:L131)</f>
        <v>52755741.076684803</v>
      </c>
      <c r="M132" s="372"/>
      <c r="N132" s="372"/>
      <c r="O132" s="372">
        <f>SUM(O129:O131)</f>
        <v>55288016.648365691</v>
      </c>
      <c r="P132" s="372"/>
      <c r="Q132" s="372"/>
      <c r="R132" s="372">
        <f>SUM(R129:R131)</f>
        <v>58273569.547377437</v>
      </c>
      <c r="S132" s="408"/>
      <c r="T132" s="409"/>
      <c r="U132" s="409"/>
      <c r="V132" s="409"/>
      <c r="W132" s="409"/>
      <c r="X132" s="409"/>
      <c r="Y132" s="409"/>
      <c r="Z132" s="409"/>
      <c r="AA132" s="409"/>
      <c r="AB132" s="409"/>
      <c r="AC132" s="409"/>
      <c r="AD132" s="409"/>
      <c r="AE132" s="409"/>
      <c r="AF132" s="409"/>
      <c r="AG132" s="409"/>
      <c r="AH132" s="409"/>
      <c r="AI132" s="409"/>
      <c r="AJ132" s="409"/>
      <c r="AK132" s="409"/>
      <c r="AL132" s="409"/>
      <c r="AM132" s="409"/>
      <c r="AN132" s="409"/>
      <c r="AO132" s="409"/>
    </row>
    <row r="133" spans="2:41" s="22" customFormat="1" ht="13.5" thickBot="1" x14ac:dyDescent="0.25">
      <c r="B133" s="410"/>
      <c r="C133" s="378"/>
      <c r="D133" s="378"/>
      <c r="E133" s="378"/>
      <c r="F133" s="378"/>
      <c r="G133" s="378"/>
      <c r="H133" s="378"/>
      <c r="I133" s="378"/>
      <c r="J133" s="378"/>
      <c r="K133" s="378"/>
      <c r="L133" s="378"/>
      <c r="M133" s="378"/>
      <c r="N133" s="378"/>
      <c r="O133" s="378"/>
      <c r="P133" s="378"/>
      <c r="Q133" s="378"/>
      <c r="R133" s="378"/>
      <c r="S133" s="411"/>
      <c r="T133" s="412"/>
      <c r="U133" s="412"/>
      <c r="V133" s="412"/>
      <c r="W133" s="412"/>
      <c r="X133" s="412"/>
      <c r="Y133" s="412"/>
      <c r="Z133" s="412"/>
      <c r="AA133" s="412"/>
      <c r="AB133" s="412"/>
      <c r="AC133" s="412"/>
      <c r="AD133" s="412"/>
      <c r="AE133" s="412"/>
      <c r="AF133" s="412"/>
      <c r="AG133" s="412"/>
      <c r="AH133" s="412"/>
      <c r="AI133" s="412"/>
      <c r="AJ133" s="412"/>
      <c r="AK133" s="412"/>
      <c r="AL133" s="412"/>
      <c r="AM133" s="412"/>
      <c r="AN133" s="412"/>
      <c r="AO133" s="412"/>
    </row>
    <row r="134" spans="2:41" s="22" customFormat="1" ht="13.5" thickBot="1" x14ac:dyDescent="0.25">
      <c r="B134" s="412"/>
      <c r="C134" s="413"/>
      <c r="D134" s="413"/>
      <c r="E134" s="413"/>
      <c r="F134" s="413"/>
      <c r="G134" s="413"/>
      <c r="H134" s="413"/>
      <c r="I134" s="413"/>
      <c r="J134" s="413"/>
      <c r="K134" s="413"/>
      <c r="L134" s="413"/>
      <c r="M134" s="413"/>
      <c r="N134" s="413"/>
      <c r="O134" s="413"/>
      <c r="P134" s="413"/>
      <c r="Q134" s="413"/>
      <c r="R134" s="413"/>
      <c r="S134" s="412"/>
      <c r="T134" s="412"/>
      <c r="U134" s="412"/>
      <c r="V134" s="412"/>
      <c r="W134" s="412"/>
      <c r="X134" s="412"/>
      <c r="Y134" s="412"/>
      <c r="Z134" s="412"/>
      <c r="AA134" s="412"/>
      <c r="AB134" s="412"/>
      <c r="AC134" s="412"/>
      <c r="AD134" s="412"/>
      <c r="AE134" s="412"/>
      <c r="AF134" s="412"/>
      <c r="AG134" s="412"/>
      <c r="AH134" s="412"/>
      <c r="AI134" s="412"/>
      <c r="AJ134" s="412"/>
      <c r="AK134" s="412"/>
      <c r="AL134" s="412"/>
      <c r="AM134" s="412"/>
      <c r="AN134" s="412"/>
      <c r="AO134" s="412"/>
    </row>
    <row r="135" spans="2:41" x14ac:dyDescent="0.2">
      <c r="B135" s="348"/>
      <c r="C135" s="389"/>
      <c r="D135" s="389"/>
      <c r="E135" s="404"/>
      <c r="F135" s="389"/>
      <c r="G135" s="389"/>
      <c r="H135" s="404"/>
      <c r="I135" s="389"/>
      <c r="J135" s="389"/>
      <c r="K135" s="404"/>
      <c r="L135" s="389"/>
      <c r="M135" s="389"/>
      <c r="N135" s="404"/>
      <c r="O135" s="389"/>
      <c r="P135" s="389"/>
      <c r="Q135" s="389"/>
      <c r="R135" s="389"/>
      <c r="S135" s="350"/>
    </row>
    <row r="136" spans="2:41" ht="25.5" x14ac:dyDescent="0.2">
      <c r="B136" s="351"/>
      <c r="C136" s="354" t="s">
        <v>106</v>
      </c>
      <c r="D136" s="354" t="s">
        <v>35</v>
      </c>
      <c r="E136" s="354" t="s">
        <v>36</v>
      </c>
      <c r="F136" s="354" t="s">
        <v>37</v>
      </c>
      <c r="G136" s="354" t="s">
        <v>35</v>
      </c>
      <c r="H136" s="354" t="s">
        <v>36</v>
      </c>
      <c r="I136" s="354" t="s">
        <v>37</v>
      </c>
      <c r="J136" s="354" t="s">
        <v>35</v>
      </c>
      <c r="K136" s="354" t="s">
        <v>36</v>
      </c>
      <c r="L136" s="354" t="s">
        <v>37</v>
      </c>
      <c r="M136" s="354" t="s">
        <v>35</v>
      </c>
      <c r="N136" s="354" t="s">
        <v>36</v>
      </c>
      <c r="O136" s="354" t="s">
        <v>37</v>
      </c>
      <c r="P136" s="354" t="s">
        <v>35</v>
      </c>
      <c r="Q136" s="354" t="s">
        <v>36</v>
      </c>
      <c r="R136" s="354" t="s">
        <v>37</v>
      </c>
      <c r="S136" s="353"/>
    </row>
    <row r="137" spans="2:41" x14ac:dyDescent="0.2">
      <c r="B137" s="351"/>
      <c r="C137" s="354" t="s">
        <v>39</v>
      </c>
      <c r="D137" s="780" t="s">
        <v>326</v>
      </c>
      <c r="E137" s="781"/>
      <c r="F137" s="782"/>
      <c r="G137" s="780" t="s">
        <v>327</v>
      </c>
      <c r="H137" s="781"/>
      <c r="I137" s="782"/>
      <c r="J137" s="780" t="s">
        <v>328</v>
      </c>
      <c r="K137" s="781"/>
      <c r="L137" s="782"/>
      <c r="M137" s="780" t="s">
        <v>329</v>
      </c>
      <c r="N137" s="781"/>
      <c r="O137" s="782"/>
      <c r="P137" s="780" t="s">
        <v>393</v>
      </c>
      <c r="Q137" s="781"/>
      <c r="R137" s="782"/>
      <c r="S137" s="353"/>
    </row>
    <row r="138" spans="2:41" x14ac:dyDescent="0.2">
      <c r="B138" s="351"/>
      <c r="C138" s="395" t="str">
        <f t="shared" ref="C138:C143" si="99">+C67</f>
        <v>Personal de ventas</v>
      </c>
      <c r="D138" s="342">
        <v>1</v>
      </c>
      <c r="E138" s="362">
        <f>AL67*(1+Supuestos!$D$20)</f>
        <v>2227148</v>
      </c>
      <c r="F138" s="356">
        <f>D138*E138*Supuestos!$E$12</f>
        <v>26725776</v>
      </c>
      <c r="G138" s="342">
        <v>1</v>
      </c>
      <c r="H138" s="362">
        <f>+E138*(1+Supuestos!$E$20)</f>
        <v>2307325.3280000002</v>
      </c>
      <c r="I138" s="356">
        <f>G138*H138*Supuestos!$F$12</f>
        <v>27687903.936000004</v>
      </c>
      <c r="J138" s="342">
        <v>1</v>
      </c>
      <c r="K138" s="362">
        <f>+H138*(1+Supuestos!$F$20)</f>
        <v>2404232.9917760002</v>
      </c>
      <c r="L138" s="356">
        <f>J138*K138*Supuestos!$G$12</f>
        <v>28850795.901312001</v>
      </c>
      <c r="M138" s="342">
        <v>1</v>
      </c>
      <c r="N138" s="362">
        <f>+K138*(1+Supuestos!$G$20)</f>
        <v>2519636.1753812484</v>
      </c>
      <c r="O138" s="356">
        <f>M138*N138*Supuestos!$H$12</f>
        <v>30235634.104574978</v>
      </c>
      <c r="P138" s="342">
        <v>1</v>
      </c>
      <c r="Q138" s="362">
        <f>+N138*(1+Supuestos!$H$20)</f>
        <v>2655696.528851836</v>
      </c>
      <c r="R138" s="356">
        <f>P138*Q138*Supuestos!$I$12</f>
        <v>31868358.346222032</v>
      </c>
      <c r="S138" s="353"/>
      <c r="V138" s="347"/>
    </row>
    <row r="139" spans="2:41" x14ac:dyDescent="0.2">
      <c r="B139" s="351"/>
      <c r="C139" s="395">
        <f t="shared" si="99"/>
        <v>0</v>
      </c>
      <c r="D139" s="342"/>
      <c r="E139" s="362">
        <f>AL68*(1+Supuestos!$D$20)</f>
        <v>0</v>
      </c>
      <c r="F139" s="356">
        <f>D139*E139*Supuestos!$E$12</f>
        <v>0</v>
      </c>
      <c r="G139" s="342"/>
      <c r="H139" s="362">
        <f>+E139*(1+Supuestos!$E$20)</f>
        <v>0</v>
      </c>
      <c r="I139" s="356">
        <f>G139*H139*Supuestos!$F$12</f>
        <v>0</v>
      </c>
      <c r="J139" s="342"/>
      <c r="K139" s="362">
        <f>+H139*(1+Supuestos!$F$20)</f>
        <v>0</v>
      </c>
      <c r="L139" s="356">
        <f>J139*K139*Supuestos!$G$12</f>
        <v>0</v>
      </c>
      <c r="M139" s="342"/>
      <c r="N139" s="362">
        <f>+K139*(1+Supuestos!$G$20)</f>
        <v>0</v>
      </c>
      <c r="O139" s="356">
        <f>M139*N139*Supuestos!$H$12</f>
        <v>0</v>
      </c>
      <c r="P139" s="342"/>
      <c r="Q139" s="362">
        <f>+N139*(1+Supuestos!$H$20)</f>
        <v>0</v>
      </c>
      <c r="R139" s="356">
        <f>P139*Q139*Supuestos!$I$12</f>
        <v>0</v>
      </c>
      <c r="S139" s="353"/>
      <c r="V139" s="347"/>
    </row>
    <row r="140" spans="2:41" x14ac:dyDescent="0.2">
      <c r="B140" s="351"/>
      <c r="C140" s="395">
        <f t="shared" si="99"/>
        <v>0</v>
      </c>
      <c r="D140" s="342"/>
      <c r="E140" s="362">
        <f>AL69*(1+Supuestos!$D$20)</f>
        <v>0</v>
      </c>
      <c r="F140" s="356">
        <f>D140*E140*Supuestos!$E$12</f>
        <v>0</v>
      </c>
      <c r="G140" s="342"/>
      <c r="H140" s="362">
        <f>+E140*(1+Supuestos!$E$20)</f>
        <v>0</v>
      </c>
      <c r="I140" s="356">
        <f>G140*H140*Supuestos!$F$12</f>
        <v>0</v>
      </c>
      <c r="J140" s="342"/>
      <c r="K140" s="362">
        <f>+H140*(1+Supuestos!$F$20)</f>
        <v>0</v>
      </c>
      <c r="L140" s="356">
        <f>J140*K140*Supuestos!$G$12</f>
        <v>0</v>
      </c>
      <c r="M140" s="342"/>
      <c r="N140" s="362">
        <f>+K140*(1+Supuestos!$G$20)</f>
        <v>0</v>
      </c>
      <c r="O140" s="356">
        <f>M140*N140*Supuestos!$H$12</f>
        <v>0</v>
      </c>
      <c r="P140" s="342"/>
      <c r="Q140" s="362">
        <f>+N140*(1+Supuestos!$H$20)</f>
        <v>0</v>
      </c>
      <c r="R140" s="356">
        <f>P140*Q140*Supuestos!$I$12</f>
        <v>0</v>
      </c>
      <c r="S140" s="353"/>
      <c r="V140" s="347"/>
    </row>
    <row r="141" spans="2:41" x14ac:dyDescent="0.2">
      <c r="B141" s="351"/>
      <c r="C141" s="395">
        <f t="shared" si="99"/>
        <v>0</v>
      </c>
      <c r="D141" s="342"/>
      <c r="E141" s="362">
        <f>AL70*(1+Supuestos!$D$20)</f>
        <v>0</v>
      </c>
      <c r="F141" s="356">
        <f>D141*E141*Supuestos!$E$12</f>
        <v>0</v>
      </c>
      <c r="G141" s="342"/>
      <c r="H141" s="362">
        <f>+E141*(1+Supuestos!$E$20)</f>
        <v>0</v>
      </c>
      <c r="I141" s="356">
        <f>G141*H141*Supuestos!$F$12</f>
        <v>0</v>
      </c>
      <c r="J141" s="342"/>
      <c r="K141" s="362">
        <f>+H141*(1+Supuestos!$F$20)</f>
        <v>0</v>
      </c>
      <c r="L141" s="356">
        <f>J141*K141*Supuestos!$G$12</f>
        <v>0</v>
      </c>
      <c r="M141" s="342"/>
      <c r="N141" s="362">
        <f>+K141*(1+Supuestos!$G$20)</f>
        <v>0</v>
      </c>
      <c r="O141" s="356">
        <f>M141*N141*Supuestos!$H$12</f>
        <v>0</v>
      </c>
      <c r="P141" s="342"/>
      <c r="Q141" s="362">
        <f>+N141*(1+Supuestos!$H$20)</f>
        <v>0</v>
      </c>
      <c r="R141" s="356">
        <f>P141*Q141*Supuestos!$I$12</f>
        <v>0</v>
      </c>
      <c r="S141" s="353"/>
      <c r="V141" s="347"/>
    </row>
    <row r="142" spans="2:41" x14ac:dyDescent="0.2">
      <c r="B142" s="351"/>
      <c r="C142" s="395">
        <f t="shared" si="99"/>
        <v>0</v>
      </c>
      <c r="D142" s="342"/>
      <c r="E142" s="362">
        <f>AL71*(1+Supuestos!$D$20)</f>
        <v>0</v>
      </c>
      <c r="F142" s="356">
        <f>D142*E142*Supuestos!$E$12</f>
        <v>0</v>
      </c>
      <c r="G142" s="342"/>
      <c r="H142" s="362">
        <f>+E142*(1+Supuestos!$E$20)</f>
        <v>0</v>
      </c>
      <c r="I142" s="356">
        <f>G142*H142*Supuestos!$F$12</f>
        <v>0</v>
      </c>
      <c r="J142" s="342"/>
      <c r="K142" s="362">
        <f>+H142*(1+Supuestos!$F$20)</f>
        <v>0</v>
      </c>
      <c r="L142" s="356">
        <f>J142*K142*Supuestos!$G$12</f>
        <v>0</v>
      </c>
      <c r="M142" s="342"/>
      <c r="N142" s="362">
        <f>+K142*(1+Supuestos!$G$20)</f>
        <v>0</v>
      </c>
      <c r="O142" s="356">
        <f>M142*N142*Supuestos!$H$12</f>
        <v>0</v>
      </c>
      <c r="P142" s="342"/>
      <c r="Q142" s="362">
        <f>+N142*(1+Supuestos!$H$20)</f>
        <v>0</v>
      </c>
      <c r="R142" s="356">
        <f>P142*Q142*Supuestos!$I$12</f>
        <v>0</v>
      </c>
      <c r="S142" s="353"/>
      <c r="V142" s="347"/>
    </row>
    <row r="143" spans="2:41" x14ac:dyDescent="0.2">
      <c r="B143" s="351"/>
      <c r="C143" s="395">
        <f t="shared" si="99"/>
        <v>0</v>
      </c>
      <c r="D143" s="342"/>
      <c r="E143" s="362">
        <f>AL72*(1+Supuestos!$D$20)</f>
        <v>0</v>
      </c>
      <c r="F143" s="356">
        <f>+E143*12</f>
        <v>0</v>
      </c>
      <c r="G143" s="342"/>
      <c r="H143" s="362">
        <f>+E143*(1+Supuestos!$E$20)</f>
        <v>0</v>
      </c>
      <c r="I143" s="356">
        <f>+H143*12</f>
        <v>0</v>
      </c>
      <c r="J143" s="342"/>
      <c r="K143" s="362">
        <f>+H143*(1+Supuestos!$F$20)</f>
        <v>0</v>
      </c>
      <c r="L143" s="356">
        <f>J143*K143*Supuestos!$G$12</f>
        <v>0</v>
      </c>
      <c r="M143" s="342"/>
      <c r="N143" s="362">
        <f>+K143*(1+Supuestos!$G$20)</f>
        <v>0</v>
      </c>
      <c r="O143" s="356">
        <f>M143*N143*Supuestos!$H$12</f>
        <v>0</v>
      </c>
      <c r="P143" s="342"/>
      <c r="Q143" s="362">
        <f>+N143*(1+Supuestos!$H$20)</f>
        <v>0</v>
      </c>
      <c r="R143" s="356">
        <f>P143*Q143*Supuestos!$I$12</f>
        <v>0</v>
      </c>
      <c r="S143" s="353"/>
      <c r="V143" s="347"/>
    </row>
    <row r="144" spans="2:41" s="19" customFormat="1" x14ac:dyDescent="0.2">
      <c r="B144" s="351"/>
      <c r="C144" s="358"/>
      <c r="D144" s="359">
        <f>SUM(D138:D143)</f>
        <v>1</v>
      </c>
      <c r="E144" s="362"/>
      <c r="F144" s="356"/>
      <c r="G144" s="359">
        <f>SUM(G138:G143)</f>
        <v>1</v>
      </c>
      <c r="H144" s="362"/>
      <c r="I144" s="356"/>
      <c r="J144" s="359">
        <f>SUM(J138:J143)</f>
        <v>1</v>
      </c>
      <c r="K144" s="362"/>
      <c r="L144" s="356"/>
      <c r="M144" s="359">
        <f>SUM(M138:M143)</f>
        <v>1</v>
      </c>
      <c r="N144" s="362"/>
      <c r="O144" s="356"/>
      <c r="P144" s="359">
        <f>SUM(P138:P143)</f>
        <v>1</v>
      </c>
      <c r="Q144" s="362"/>
      <c r="R144" s="356"/>
      <c r="S144" s="353"/>
      <c r="T144" s="382"/>
      <c r="U144" s="382"/>
      <c r="V144" s="382"/>
      <c r="W144" s="382"/>
      <c r="X144" s="382"/>
      <c r="Y144" s="382"/>
      <c r="Z144" s="382"/>
      <c r="AA144" s="382"/>
      <c r="AB144" s="382"/>
      <c r="AC144" s="382"/>
      <c r="AD144" s="382"/>
      <c r="AE144" s="382"/>
      <c r="AF144" s="382"/>
      <c r="AG144" s="382"/>
      <c r="AH144" s="382"/>
      <c r="AI144" s="382"/>
      <c r="AJ144" s="382"/>
      <c r="AK144" s="382"/>
      <c r="AL144" s="382"/>
      <c r="AM144" s="382"/>
      <c r="AN144" s="382"/>
      <c r="AO144" s="382"/>
    </row>
    <row r="145" spans="2:41" s="19" customFormat="1" x14ac:dyDescent="0.2">
      <c r="B145" s="351"/>
      <c r="C145" s="358"/>
      <c r="D145" s="362"/>
      <c r="E145" s="362"/>
      <c r="F145" s="356"/>
      <c r="G145" s="362"/>
      <c r="H145" s="362"/>
      <c r="I145" s="356"/>
      <c r="J145" s="362"/>
      <c r="K145" s="362"/>
      <c r="L145" s="356"/>
      <c r="M145" s="362"/>
      <c r="N145" s="362"/>
      <c r="O145" s="356"/>
      <c r="P145" s="362"/>
      <c r="Q145" s="362"/>
      <c r="R145" s="356"/>
      <c r="S145" s="353"/>
      <c r="T145" s="382"/>
      <c r="U145" s="382"/>
      <c r="V145" s="382"/>
      <c r="W145" s="382"/>
      <c r="X145" s="382"/>
      <c r="Y145" s="382"/>
      <c r="Z145" s="382"/>
      <c r="AA145" s="382"/>
      <c r="AB145" s="382"/>
      <c r="AC145" s="382"/>
      <c r="AD145" s="382"/>
      <c r="AE145" s="382"/>
      <c r="AF145" s="382"/>
      <c r="AG145" s="382"/>
      <c r="AH145" s="382"/>
      <c r="AI145" s="382"/>
      <c r="AJ145" s="382"/>
      <c r="AK145" s="382"/>
      <c r="AL145" s="382"/>
      <c r="AM145" s="382"/>
      <c r="AN145" s="382"/>
      <c r="AO145" s="382"/>
    </row>
    <row r="146" spans="2:41" s="9" customFormat="1" x14ac:dyDescent="0.2">
      <c r="B146" s="396"/>
      <c r="C146" s="364" t="s">
        <v>108</v>
      </c>
      <c r="D146" s="365"/>
      <c r="E146" s="362"/>
      <c r="F146" s="365">
        <f>SUM(F138:F143)</f>
        <v>26725776</v>
      </c>
      <c r="G146" s="365"/>
      <c r="H146" s="362"/>
      <c r="I146" s="365">
        <f>SUM(I138:I143)</f>
        <v>27687903.936000004</v>
      </c>
      <c r="J146" s="365"/>
      <c r="K146" s="362"/>
      <c r="L146" s="365">
        <f>SUM(L138:L143)</f>
        <v>28850795.901312001</v>
      </c>
      <c r="M146" s="365"/>
      <c r="N146" s="362"/>
      <c r="O146" s="365">
        <f>SUM(O138:O143)</f>
        <v>30235634.104574978</v>
      </c>
      <c r="P146" s="365"/>
      <c r="Q146" s="362"/>
      <c r="R146" s="365">
        <f>SUM(R138:R143)</f>
        <v>31868358.346222032</v>
      </c>
      <c r="S146" s="397"/>
      <c r="T146" s="398"/>
      <c r="U146" s="398"/>
      <c r="V146" s="398"/>
      <c r="W146" s="398"/>
      <c r="X146" s="398"/>
      <c r="Y146" s="398"/>
      <c r="Z146" s="398"/>
      <c r="AA146" s="398"/>
      <c r="AB146" s="398"/>
      <c r="AC146" s="398"/>
      <c r="AD146" s="398"/>
      <c r="AE146" s="398"/>
      <c r="AF146" s="398"/>
      <c r="AG146" s="398"/>
      <c r="AH146" s="398"/>
      <c r="AI146" s="398"/>
      <c r="AJ146" s="398"/>
      <c r="AK146" s="398"/>
      <c r="AL146" s="398"/>
      <c r="AM146" s="398"/>
      <c r="AN146" s="398"/>
      <c r="AO146" s="398"/>
    </row>
    <row r="147" spans="2:41" x14ac:dyDescent="0.2">
      <c r="B147" s="351"/>
      <c r="C147" s="367" t="s">
        <v>161</v>
      </c>
      <c r="D147" s="368">
        <f>SUMIF(E138:E143,"&lt;988810",D138:D143)</f>
        <v>0</v>
      </c>
      <c r="E147" s="369">
        <f>E130</f>
        <v>0</v>
      </c>
      <c r="F147" s="370">
        <f>D147*E147*Supuestos!$E$12</f>
        <v>0</v>
      </c>
      <c r="G147" s="368">
        <f>SUMIF(H138:H143,"&lt;1051006",G138:G143)</f>
        <v>0</v>
      </c>
      <c r="H147" s="369">
        <f>H130</f>
        <v>0</v>
      </c>
      <c r="I147" s="370">
        <f>G147*H147*Supuestos!$F$12</f>
        <v>0</v>
      </c>
      <c r="J147" s="368">
        <f>SUMIF(K138:K143,"&lt;1116064",J138:J143)</f>
        <v>0</v>
      </c>
      <c r="K147" s="369">
        <f>K130</f>
        <v>0</v>
      </c>
      <c r="L147" s="370">
        <f>J147*K147*Supuestos!$G$12</f>
        <v>0</v>
      </c>
      <c r="M147" s="368">
        <f>SUMIF(N138:N143,"&lt;1183027",M138:M143)</f>
        <v>0</v>
      </c>
      <c r="N147" s="369">
        <f>N130</f>
        <v>0</v>
      </c>
      <c r="O147" s="370">
        <f>M147*N147*Supuestos!$H$12</f>
        <v>0</v>
      </c>
      <c r="P147" s="368">
        <f>SUMIF(Q138:Q143,"&lt;1252000",P138:P143)</f>
        <v>0</v>
      </c>
      <c r="Q147" s="369">
        <f>Q130</f>
        <v>0</v>
      </c>
      <c r="R147" s="370">
        <f>P147*Q147*Supuestos!$H$12</f>
        <v>0</v>
      </c>
      <c r="S147" s="353"/>
      <c r="V147" s="347"/>
    </row>
    <row r="148" spans="2:41" x14ac:dyDescent="0.2">
      <c r="B148" s="351"/>
      <c r="C148" s="367" t="s">
        <v>169</v>
      </c>
      <c r="D148" s="370"/>
      <c r="E148" s="362"/>
      <c r="F148" s="370">
        <f>(F146+F147)*Supuestos!E$25</f>
        <v>16035465.6</v>
      </c>
      <c r="G148" s="370"/>
      <c r="H148" s="362"/>
      <c r="I148" s="370">
        <f>(I146+I147)*Supuestos!F$25</f>
        <v>16612742.361600002</v>
      </c>
      <c r="J148" s="370"/>
      <c r="K148" s="362"/>
      <c r="L148" s="370">
        <f>(L146+L147)*Supuestos!$G$25</f>
        <v>17310477.540787201</v>
      </c>
      <c r="M148" s="370"/>
      <c r="N148" s="362"/>
      <c r="O148" s="370">
        <f>(O146+O147)*Supuestos!$H$25</f>
        <v>18141380.462744985</v>
      </c>
      <c r="P148" s="370"/>
      <c r="Q148" s="362"/>
      <c r="R148" s="370">
        <f>(R146+R147)*Supuestos!$H$25</f>
        <v>19121015.007733218</v>
      </c>
      <c r="S148" s="353"/>
    </row>
    <row r="149" spans="2:41" s="9" customFormat="1" x14ac:dyDescent="0.2">
      <c r="B149" s="396"/>
      <c r="C149" s="371" t="s">
        <v>90</v>
      </c>
      <c r="D149" s="372"/>
      <c r="E149" s="399"/>
      <c r="F149" s="372">
        <f>SUM(F146:F148)</f>
        <v>42761241.600000001</v>
      </c>
      <c r="G149" s="372"/>
      <c r="H149" s="399"/>
      <c r="I149" s="372">
        <f>SUM(I146:I148)</f>
        <v>44300646.297600009</v>
      </c>
      <c r="J149" s="372"/>
      <c r="K149" s="399"/>
      <c r="L149" s="372">
        <f>SUM(L146:L148)</f>
        <v>46161273.442099199</v>
      </c>
      <c r="M149" s="372"/>
      <c r="N149" s="399"/>
      <c r="O149" s="372">
        <f>SUM(O146:O148)</f>
        <v>48377014.567319959</v>
      </c>
      <c r="P149" s="372"/>
      <c r="Q149" s="399"/>
      <c r="R149" s="372">
        <f>SUM(R146:R148)</f>
        <v>50989373.353955254</v>
      </c>
      <c r="S149" s="397"/>
      <c r="T149" s="398"/>
      <c r="U149" s="398"/>
      <c r="V149" s="398"/>
      <c r="W149" s="398"/>
      <c r="X149" s="398"/>
      <c r="Y149" s="398"/>
      <c r="Z149" s="398"/>
      <c r="AA149" s="398"/>
      <c r="AB149" s="398"/>
      <c r="AC149" s="398"/>
      <c r="AD149" s="398"/>
      <c r="AE149" s="398"/>
      <c r="AF149" s="398"/>
      <c r="AG149" s="398"/>
      <c r="AH149" s="398"/>
      <c r="AI149" s="398"/>
      <c r="AJ149" s="398"/>
      <c r="AK149" s="398"/>
      <c r="AL149" s="398"/>
      <c r="AM149" s="398"/>
      <c r="AN149" s="398"/>
      <c r="AO149" s="398"/>
    </row>
    <row r="150" spans="2:41" ht="13.5" thickBot="1" x14ac:dyDescent="0.25">
      <c r="B150" s="376"/>
      <c r="C150" s="386"/>
      <c r="D150" s="386"/>
      <c r="E150" s="386"/>
      <c r="F150" s="386"/>
      <c r="G150" s="386"/>
      <c r="H150" s="386"/>
      <c r="I150" s="386"/>
      <c r="J150" s="386"/>
      <c r="K150" s="386"/>
      <c r="L150" s="386"/>
      <c r="M150" s="386"/>
      <c r="N150" s="386"/>
      <c r="O150" s="386"/>
      <c r="P150" s="386"/>
      <c r="Q150" s="386"/>
      <c r="R150" s="386"/>
      <c r="S150" s="380"/>
    </row>
  </sheetData>
  <mergeCells count="75">
    <mergeCell ref="AK11:AM11"/>
    <mergeCell ref="Y11:AA11"/>
    <mergeCell ref="D28:F28"/>
    <mergeCell ref="AE11:AG11"/>
    <mergeCell ref="P11:R11"/>
    <mergeCell ref="S11:U11"/>
    <mergeCell ref="AH11:AJ11"/>
    <mergeCell ref="AB11:AD11"/>
    <mergeCell ref="V11:X11"/>
    <mergeCell ref="D11:F11"/>
    <mergeCell ref="P28:R28"/>
    <mergeCell ref="AN65:AN66"/>
    <mergeCell ref="S47:U47"/>
    <mergeCell ref="AB28:AD28"/>
    <mergeCell ref="AN46:AN47"/>
    <mergeCell ref="V47:X47"/>
    <mergeCell ref="Y66:AA66"/>
    <mergeCell ref="AK47:AM47"/>
    <mergeCell ref="AB66:AD66"/>
    <mergeCell ref="AH47:AJ47"/>
    <mergeCell ref="AH66:AJ66"/>
    <mergeCell ref="AE28:AG28"/>
    <mergeCell ref="V28:X28"/>
    <mergeCell ref="Y47:AA47"/>
    <mergeCell ref="V66:X66"/>
    <mergeCell ref="S28:U28"/>
    <mergeCell ref="S66:U66"/>
    <mergeCell ref="C82:R82"/>
    <mergeCell ref="H8:O8"/>
    <mergeCell ref="J11:L11"/>
    <mergeCell ref="M11:O11"/>
    <mergeCell ref="G11:I11"/>
    <mergeCell ref="G28:I28"/>
    <mergeCell ref="J28:L28"/>
    <mergeCell ref="J47:L47"/>
    <mergeCell ref="P66:R66"/>
    <mergeCell ref="D66:F66"/>
    <mergeCell ref="G66:I66"/>
    <mergeCell ref="P47:R47"/>
    <mergeCell ref="M66:O66"/>
    <mergeCell ref="D47:F47"/>
    <mergeCell ref="G47:I47"/>
    <mergeCell ref="J66:L66"/>
    <mergeCell ref="P137:R137"/>
    <mergeCell ref="P85:R85"/>
    <mergeCell ref="M120:O120"/>
    <mergeCell ref="P102:R102"/>
    <mergeCell ref="D85:F85"/>
    <mergeCell ref="M102:O102"/>
    <mergeCell ref="M85:O85"/>
    <mergeCell ref="G85:I85"/>
    <mergeCell ref="J85:L85"/>
    <mergeCell ref="J137:L137"/>
    <mergeCell ref="D102:F102"/>
    <mergeCell ref="G102:I102"/>
    <mergeCell ref="D120:F120"/>
    <mergeCell ref="G120:I120"/>
    <mergeCell ref="J120:L120"/>
    <mergeCell ref="J102:L102"/>
    <mergeCell ref="AN12:AN13"/>
    <mergeCell ref="AB47:AD47"/>
    <mergeCell ref="AE66:AG66"/>
    <mergeCell ref="M137:O137"/>
    <mergeCell ref="AK66:AM66"/>
    <mergeCell ref="AN27:AN28"/>
    <mergeCell ref="AE47:AG47"/>
    <mergeCell ref="AK28:AM28"/>
    <mergeCell ref="AH28:AJ28"/>
    <mergeCell ref="Y28:AA28"/>
    <mergeCell ref="P120:R120"/>
    <mergeCell ref="M28:O28"/>
    <mergeCell ref="M47:O47"/>
    <mergeCell ref="C83:R83"/>
    <mergeCell ref="D137:F137"/>
    <mergeCell ref="G137:I137"/>
  </mergeCells>
  <phoneticPr fontId="4" type="noConversion"/>
  <printOptions horizontalCentered="1" verticalCentered="1"/>
  <pageMargins left="0.39370078740157483" right="0.39370078740157483" top="0.39370078740157483" bottom="0.39370078740157483" header="0" footer="0"/>
  <pageSetup scale="70" orientation="landscape" horizontalDpi="300" verticalDpi="300" r:id="rId1"/>
  <headerFooter alignWithMargins="0"/>
  <drawing r:id="rId2"/>
  <legacyDrawing r:id="rId3"/>
  <controls>
    <mc:AlternateContent xmlns:mc="http://schemas.openxmlformats.org/markup-compatibility/2006">
      <mc:Choice Requires="x14">
        <control shapeId="14368" r:id="rId4" name="CommandButton1">
          <controlPr defaultSize="0" autoLine="0" r:id="rId5">
            <anchor moveWithCells="1">
              <from>
                <xdr:col>2</xdr:col>
                <xdr:colOff>28575</xdr:colOff>
                <xdr:row>1</xdr:row>
                <xdr:rowOff>85725</xdr:rowOff>
              </from>
              <to>
                <xdr:col>2</xdr:col>
                <xdr:colOff>1714500</xdr:colOff>
                <xdr:row>5</xdr:row>
                <xdr:rowOff>28575</xdr:rowOff>
              </to>
            </anchor>
          </controlPr>
        </control>
      </mc:Choice>
      <mc:Fallback>
        <control shapeId="14368" r:id="rId4" name="CommandButton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dimension ref="B1:P166"/>
  <sheetViews>
    <sheetView showGridLines="0" topLeftCell="A28" zoomScale="120" zoomScaleNormal="120" workbookViewId="0"/>
  </sheetViews>
  <sheetFormatPr baseColWidth="10" defaultRowHeight="12.75" x14ac:dyDescent="0.2"/>
  <cols>
    <col min="1" max="1" width="3.7109375" style="15" customWidth="1"/>
    <col min="2" max="2" width="46.85546875" style="133" bestFit="1" customWidth="1"/>
    <col min="3" max="3" width="11.140625" style="133" customWidth="1"/>
    <col min="4" max="4" width="16.28515625" style="133" bestFit="1" customWidth="1"/>
    <col min="5" max="5" width="13.140625" style="133" customWidth="1"/>
    <col min="6" max="8" width="14" style="133" bestFit="1" customWidth="1"/>
    <col min="9" max="9" width="13" style="133" customWidth="1"/>
    <col min="10" max="15" width="10.7109375" style="133" bestFit="1" customWidth="1"/>
    <col min="16" max="16" width="12.28515625" style="133" customWidth="1"/>
    <col min="17" max="16384" width="11.42578125" style="15"/>
  </cols>
  <sheetData>
    <row r="1" spans="2:16" x14ac:dyDescent="0.2">
      <c r="D1" s="23"/>
      <c r="G1" s="23"/>
      <c r="H1" s="23"/>
    </row>
    <row r="8" spans="2:16" x14ac:dyDescent="0.2">
      <c r="B8" s="788" t="str">
        <f>Supuestos!B8</f>
        <v>Centro de acopio la Bonanza Campesina</v>
      </c>
      <c r="C8" s="789"/>
      <c r="D8" s="789"/>
      <c r="E8" s="789"/>
      <c r="F8" s="789"/>
      <c r="G8" s="789"/>
      <c r="H8" s="789"/>
      <c r="I8" s="789"/>
      <c r="J8" s="789"/>
      <c r="K8" s="789"/>
      <c r="L8" s="789"/>
      <c r="M8" s="789"/>
      <c r="N8" s="789"/>
      <c r="O8" s="789"/>
      <c r="P8" s="790"/>
    </row>
    <row r="9" spans="2:16" x14ac:dyDescent="0.2">
      <c r="B9" s="791" t="s">
        <v>88</v>
      </c>
      <c r="C9" s="792"/>
      <c r="D9" s="792"/>
      <c r="E9" s="792"/>
      <c r="F9" s="792"/>
      <c r="G9" s="792"/>
      <c r="H9" s="792"/>
      <c r="I9" s="792"/>
      <c r="J9" s="792"/>
      <c r="K9" s="792"/>
      <c r="L9" s="792"/>
      <c r="M9" s="792"/>
      <c r="N9" s="792"/>
      <c r="O9" s="792"/>
      <c r="P9" s="793"/>
    </row>
    <row r="11" spans="2:16" x14ac:dyDescent="0.2">
      <c r="B11" s="415"/>
      <c r="C11" s="415"/>
      <c r="D11" s="416" t="s">
        <v>48</v>
      </c>
      <c r="E11" s="416" t="s">
        <v>48</v>
      </c>
      <c r="F11" s="416" t="s">
        <v>48</v>
      </c>
      <c r="G11" s="416" t="s">
        <v>48</v>
      </c>
      <c r="H11" s="416" t="s">
        <v>48</v>
      </c>
      <c r="I11" s="416" t="s">
        <v>48</v>
      </c>
      <c r="J11" s="416" t="s">
        <v>48</v>
      </c>
      <c r="K11" s="416" t="s">
        <v>48</v>
      </c>
      <c r="L11" s="416" t="s">
        <v>48</v>
      </c>
      <c r="M11" s="416" t="s">
        <v>48</v>
      </c>
      <c r="N11" s="416" t="s">
        <v>48</v>
      </c>
      <c r="O11" s="416" t="s">
        <v>48</v>
      </c>
      <c r="P11" s="787" t="s">
        <v>2</v>
      </c>
    </row>
    <row r="12" spans="2:16" x14ac:dyDescent="0.2">
      <c r="B12" s="415"/>
      <c r="C12" s="415"/>
      <c r="D12" s="416">
        <v>1</v>
      </c>
      <c r="E12" s="416">
        <v>2</v>
      </c>
      <c r="F12" s="416">
        <v>3</v>
      </c>
      <c r="G12" s="416">
        <v>4</v>
      </c>
      <c r="H12" s="416">
        <v>5</v>
      </c>
      <c r="I12" s="416">
        <v>6</v>
      </c>
      <c r="J12" s="416">
        <v>7</v>
      </c>
      <c r="K12" s="416">
        <v>8</v>
      </c>
      <c r="L12" s="416">
        <v>9</v>
      </c>
      <c r="M12" s="416">
        <v>10</v>
      </c>
      <c r="N12" s="416">
        <v>11</v>
      </c>
      <c r="O12" s="416">
        <v>12</v>
      </c>
      <c r="P12" s="787"/>
    </row>
    <row r="13" spans="2:16" s="14" customFormat="1" x14ac:dyDescent="0.2">
      <c r="B13" s="415" t="s">
        <v>44</v>
      </c>
      <c r="C13" s="417" t="s">
        <v>45</v>
      </c>
      <c r="D13" s="414">
        <v>4000000</v>
      </c>
      <c r="E13" s="414">
        <v>4000000</v>
      </c>
      <c r="F13" s="414">
        <v>4000000</v>
      </c>
      <c r="G13" s="414">
        <v>4000000</v>
      </c>
      <c r="H13" s="414">
        <v>4000000</v>
      </c>
      <c r="I13" s="414">
        <v>4000000</v>
      </c>
      <c r="J13" s="414">
        <v>4000000</v>
      </c>
      <c r="K13" s="414">
        <v>4000000</v>
      </c>
      <c r="L13" s="414">
        <v>4000000</v>
      </c>
      <c r="M13" s="414">
        <v>4000000</v>
      </c>
      <c r="N13" s="414">
        <v>4000000</v>
      </c>
      <c r="O13" s="414">
        <v>4000000</v>
      </c>
      <c r="P13" s="416">
        <f>SUM(D13:O13)</f>
        <v>48000000</v>
      </c>
    </row>
    <row r="14" spans="2:16" s="14" customFormat="1" x14ac:dyDescent="0.2">
      <c r="B14" s="415" t="s">
        <v>3</v>
      </c>
      <c r="C14" s="417" t="s">
        <v>45</v>
      </c>
      <c r="D14" s="414">
        <v>1150000</v>
      </c>
      <c r="E14" s="414">
        <v>1150000</v>
      </c>
      <c r="F14" s="414">
        <v>1150000</v>
      </c>
      <c r="G14" s="414">
        <v>1150000</v>
      </c>
      <c r="H14" s="414">
        <v>1150000</v>
      </c>
      <c r="I14" s="414">
        <v>1150000</v>
      </c>
      <c r="J14" s="414">
        <v>1150000</v>
      </c>
      <c r="K14" s="414">
        <v>1150000</v>
      </c>
      <c r="L14" s="414">
        <v>1150000</v>
      </c>
      <c r="M14" s="414">
        <v>1150000</v>
      </c>
      <c r="N14" s="414">
        <v>1150000</v>
      </c>
      <c r="O14" s="414">
        <v>1150000</v>
      </c>
      <c r="P14" s="416">
        <f t="shared" ref="P14:P46" si="0">SUM(D14:O14)</f>
        <v>13800000</v>
      </c>
    </row>
    <row r="15" spans="2:16" s="14" customFormat="1" x14ac:dyDescent="0.2">
      <c r="B15" s="415" t="s">
        <v>213</v>
      </c>
      <c r="C15" s="417" t="s">
        <v>45</v>
      </c>
      <c r="D15" s="414"/>
      <c r="E15" s="414"/>
      <c r="F15" s="414"/>
      <c r="G15" s="414"/>
      <c r="H15" s="414"/>
      <c r="I15" s="414"/>
      <c r="J15" s="414"/>
      <c r="K15" s="414"/>
      <c r="L15" s="414"/>
      <c r="M15" s="414"/>
      <c r="N15" s="414"/>
      <c r="O15" s="414"/>
      <c r="P15" s="416">
        <f t="shared" si="0"/>
        <v>0</v>
      </c>
    </row>
    <row r="16" spans="2:16" s="14" customFormat="1" x14ac:dyDescent="0.2">
      <c r="B16" s="415" t="s">
        <v>322</v>
      </c>
      <c r="C16" s="417" t="s">
        <v>45</v>
      </c>
      <c r="D16" s="414"/>
      <c r="E16" s="414"/>
      <c r="F16" s="414"/>
      <c r="G16" s="414"/>
      <c r="H16" s="414"/>
      <c r="I16" s="414"/>
      <c r="J16" s="414"/>
      <c r="K16" s="414"/>
      <c r="L16" s="414"/>
      <c r="M16" s="414"/>
      <c r="N16" s="414"/>
      <c r="O16" s="414"/>
      <c r="P16" s="416">
        <f t="shared" si="0"/>
        <v>0</v>
      </c>
    </row>
    <row r="17" spans="2:16" s="14" customFormat="1" x14ac:dyDescent="0.2">
      <c r="B17" s="415" t="s">
        <v>323</v>
      </c>
      <c r="C17" s="417" t="s">
        <v>45</v>
      </c>
      <c r="D17" s="414"/>
      <c r="E17" s="414"/>
      <c r="F17" s="414"/>
      <c r="G17" s="414"/>
      <c r="H17" s="414"/>
      <c r="I17" s="414"/>
      <c r="J17" s="414"/>
      <c r="K17" s="414"/>
      <c r="L17" s="414"/>
      <c r="M17" s="414"/>
      <c r="N17" s="414"/>
      <c r="O17" s="414"/>
      <c r="P17" s="416">
        <f t="shared" si="0"/>
        <v>0</v>
      </c>
    </row>
    <row r="18" spans="2:16" s="14" customFormat="1" x14ac:dyDescent="0.2">
      <c r="B18" s="415" t="s">
        <v>61</v>
      </c>
      <c r="C18" s="417" t="s">
        <v>45</v>
      </c>
      <c r="D18" s="414"/>
      <c r="E18" s="414"/>
      <c r="F18" s="414"/>
      <c r="G18" s="414"/>
      <c r="H18" s="414"/>
      <c r="I18" s="414"/>
      <c r="J18" s="414"/>
      <c r="K18" s="414"/>
      <c r="L18" s="414"/>
      <c r="M18" s="414"/>
      <c r="N18" s="414"/>
      <c r="O18" s="414"/>
      <c r="P18" s="416">
        <f t="shared" si="0"/>
        <v>0</v>
      </c>
    </row>
    <row r="19" spans="2:16" s="14" customFormat="1" x14ac:dyDescent="0.2">
      <c r="B19" s="415" t="s">
        <v>198</v>
      </c>
      <c r="C19" s="417" t="s">
        <v>45</v>
      </c>
      <c r="D19" s="414"/>
      <c r="E19" s="414"/>
      <c r="F19" s="414"/>
      <c r="G19" s="414"/>
      <c r="H19" s="414"/>
      <c r="I19" s="414"/>
      <c r="J19" s="414"/>
      <c r="K19" s="414"/>
      <c r="L19" s="414"/>
      <c r="M19" s="414"/>
      <c r="N19" s="414"/>
      <c r="O19" s="414"/>
      <c r="P19" s="416">
        <f t="shared" si="0"/>
        <v>0</v>
      </c>
    </row>
    <row r="20" spans="2:16" s="14" customFormat="1" x14ac:dyDescent="0.2">
      <c r="B20" s="415" t="s">
        <v>46</v>
      </c>
      <c r="C20" s="417" t="s">
        <v>45</v>
      </c>
      <c r="D20" s="414">
        <v>600000</v>
      </c>
      <c r="E20" s="414">
        <v>600000</v>
      </c>
      <c r="F20" s="414">
        <v>600000</v>
      </c>
      <c r="G20" s="414">
        <v>600000</v>
      </c>
      <c r="H20" s="414">
        <v>600000</v>
      </c>
      <c r="I20" s="414">
        <v>600000</v>
      </c>
      <c r="J20" s="414">
        <v>600000</v>
      </c>
      <c r="K20" s="414">
        <v>600000</v>
      </c>
      <c r="L20" s="414">
        <v>600000</v>
      </c>
      <c r="M20" s="414">
        <v>600000</v>
      </c>
      <c r="N20" s="414">
        <v>600000</v>
      </c>
      <c r="O20" s="414">
        <v>600000</v>
      </c>
      <c r="P20" s="416">
        <f t="shared" si="0"/>
        <v>7200000</v>
      </c>
    </row>
    <row r="21" spans="2:16" s="14" customFormat="1" x14ac:dyDescent="0.2">
      <c r="B21" s="415" t="s">
        <v>199</v>
      </c>
      <c r="C21" s="417" t="s">
        <v>45</v>
      </c>
      <c r="D21" s="414"/>
      <c r="E21" s="414"/>
      <c r="F21" s="414"/>
      <c r="G21" s="414"/>
      <c r="H21" s="414"/>
      <c r="I21" s="414"/>
      <c r="J21" s="414"/>
      <c r="K21" s="414"/>
      <c r="L21" s="414"/>
      <c r="M21" s="414"/>
      <c r="N21" s="414"/>
      <c r="O21" s="414"/>
      <c r="P21" s="416">
        <f t="shared" si="0"/>
        <v>0</v>
      </c>
    </row>
    <row r="22" spans="2:16" s="14" customFormat="1" x14ac:dyDescent="0.2">
      <c r="B22" s="415" t="s">
        <v>47</v>
      </c>
      <c r="C22" s="417" t="s">
        <v>45</v>
      </c>
      <c r="D22" s="414">
        <v>1666667</v>
      </c>
      <c r="E22" s="414">
        <v>1666667</v>
      </c>
      <c r="F22" s="414">
        <v>1666667</v>
      </c>
      <c r="G22" s="414">
        <v>1666667</v>
      </c>
      <c r="H22" s="414">
        <v>1666667</v>
      </c>
      <c r="I22" s="414">
        <v>1666667</v>
      </c>
      <c r="J22" s="414">
        <v>1666667</v>
      </c>
      <c r="K22" s="414">
        <v>1666667</v>
      </c>
      <c r="L22" s="414">
        <v>1666667</v>
      </c>
      <c r="M22" s="414">
        <v>1666667</v>
      </c>
      <c r="N22" s="414">
        <v>1666667</v>
      </c>
      <c r="O22" s="414">
        <v>1666667</v>
      </c>
      <c r="P22" s="416">
        <f t="shared" si="0"/>
        <v>20000004</v>
      </c>
    </row>
    <row r="23" spans="2:16" s="14" customFormat="1" x14ac:dyDescent="0.2">
      <c r="B23" s="736" t="s">
        <v>463</v>
      </c>
      <c r="C23" s="417" t="s">
        <v>45</v>
      </c>
      <c r="D23" s="414">
        <v>500000</v>
      </c>
      <c r="E23" s="414">
        <v>500000</v>
      </c>
      <c r="F23" s="414">
        <v>500000</v>
      </c>
      <c r="G23" s="414">
        <v>500000</v>
      </c>
      <c r="H23" s="414">
        <v>500000</v>
      </c>
      <c r="I23" s="414">
        <v>500000</v>
      </c>
      <c r="J23" s="414">
        <v>500000</v>
      </c>
      <c r="K23" s="414">
        <v>500000</v>
      </c>
      <c r="L23" s="414">
        <v>500000</v>
      </c>
      <c r="M23" s="414">
        <v>500000</v>
      </c>
      <c r="N23" s="414">
        <v>500000</v>
      </c>
      <c r="O23" s="414">
        <v>500000</v>
      </c>
      <c r="P23" s="416">
        <f t="shared" si="0"/>
        <v>6000000</v>
      </c>
    </row>
    <row r="24" spans="2:16" s="14" customFormat="1" x14ac:dyDescent="0.2">
      <c r="B24" s="736" t="s">
        <v>470</v>
      </c>
      <c r="C24" s="417" t="s">
        <v>45</v>
      </c>
      <c r="D24" s="414">
        <v>20834</v>
      </c>
      <c r="E24" s="414">
        <v>20834</v>
      </c>
      <c r="F24" s="414">
        <v>20834</v>
      </c>
      <c r="G24" s="414">
        <v>20834</v>
      </c>
      <c r="H24" s="414">
        <v>20834</v>
      </c>
      <c r="I24" s="414">
        <v>20834</v>
      </c>
      <c r="J24" s="414">
        <v>20834</v>
      </c>
      <c r="K24" s="414">
        <v>20834</v>
      </c>
      <c r="L24" s="414">
        <v>20834</v>
      </c>
      <c r="M24" s="414">
        <v>20834</v>
      </c>
      <c r="N24" s="414">
        <v>20834</v>
      </c>
      <c r="O24" s="414">
        <v>20834</v>
      </c>
      <c r="P24" s="416">
        <f t="shared" si="0"/>
        <v>250008</v>
      </c>
    </row>
    <row r="25" spans="2:16" s="14" customFormat="1" x14ac:dyDescent="0.2">
      <c r="B25" s="415" t="s">
        <v>324</v>
      </c>
      <c r="C25" s="417" t="s">
        <v>45</v>
      </c>
      <c r="D25" s="414">
        <v>250000</v>
      </c>
      <c r="E25" s="414"/>
      <c r="F25" s="414"/>
      <c r="G25" s="414">
        <v>250000</v>
      </c>
      <c r="H25" s="414"/>
      <c r="I25" s="414"/>
      <c r="J25" s="414">
        <v>250000</v>
      </c>
      <c r="K25" s="414"/>
      <c r="L25" s="414"/>
      <c r="M25" s="414">
        <v>250000</v>
      </c>
      <c r="N25" s="414"/>
      <c r="O25" s="414"/>
      <c r="P25" s="416">
        <f t="shared" si="0"/>
        <v>1000000</v>
      </c>
    </row>
    <row r="26" spans="2:16" s="14" customFormat="1" x14ac:dyDescent="0.2">
      <c r="B26" s="415" t="s">
        <v>104</v>
      </c>
      <c r="C26" s="417" t="s">
        <v>45</v>
      </c>
      <c r="D26" s="414"/>
      <c r="E26" s="414"/>
      <c r="F26" s="414"/>
      <c r="G26" s="414"/>
      <c r="H26" s="414"/>
      <c r="I26" s="414"/>
      <c r="J26" s="414"/>
      <c r="K26" s="414"/>
      <c r="L26" s="414"/>
      <c r="M26" s="414"/>
      <c r="N26" s="414"/>
      <c r="O26" s="414"/>
      <c r="P26" s="416">
        <f t="shared" si="0"/>
        <v>0</v>
      </c>
    </row>
    <row r="27" spans="2:16" s="14" customFormat="1" x14ac:dyDescent="0.2">
      <c r="B27" s="736" t="s">
        <v>464</v>
      </c>
      <c r="C27" s="417" t="s">
        <v>45</v>
      </c>
      <c r="D27" s="414"/>
      <c r="E27" s="414"/>
      <c r="F27" s="414"/>
      <c r="G27" s="414"/>
      <c r="H27" s="414"/>
      <c r="I27" s="414"/>
      <c r="J27" s="414"/>
      <c r="K27" s="414"/>
      <c r="L27" s="414"/>
      <c r="M27" s="414"/>
      <c r="N27" s="414"/>
      <c r="O27" s="414"/>
      <c r="P27" s="416">
        <f t="shared" si="0"/>
        <v>0</v>
      </c>
    </row>
    <row r="28" spans="2:16" s="14" customFormat="1" x14ac:dyDescent="0.2">
      <c r="B28" s="736" t="s">
        <v>465</v>
      </c>
      <c r="C28" s="417" t="s">
        <v>45</v>
      </c>
      <c r="D28" s="414"/>
      <c r="E28" s="414"/>
      <c r="F28" s="414"/>
      <c r="G28" s="414"/>
      <c r="H28" s="414"/>
      <c r="I28" s="414"/>
      <c r="J28" s="414"/>
      <c r="K28" s="414"/>
      <c r="L28" s="414"/>
      <c r="M28" s="414"/>
      <c r="N28" s="414"/>
      <c r="O28" s="414"/>
      <c r="P28" s="416">
        <f t="shared" si="0"/>
        <v>0</v>
      </c>
    </row>
    <row r="29" spans="2:16" s="14" customFormat="1" x14ac:dyDescent="0.2">
      <c r="B29" s="736" t="s">
        <v>466</v>
      </c>
      <c r="C29" s="417" t="s">
        <v>45</v>
      </c>
      <c r="D29" s="414"/>
      <c r="E29" s="414"/>
      <c r="F29" s="414"/>
      <c r="G29" s="414"/>
      <c r="H29" s="414"/>
      <c r="I29" s="414"/>
      <c r="J29" s="414"/>
      <c r="K29" s="414"/>
      <c r="L29" s="414"/>
      <c r="M29" s="414"/>
      <c r="N29" s="414"/>
      <c r="O29" s="414"/>
      <c r="P29" s="416">
        <f t="shared" si="0"/>
        <v>0</v>
      </c>
    </row>
    <row r="30" spans="2:16" s="14" customFormat="1" x14ac:dyDescent="0.2">
      <c r="B30" s="737" t="s">
        <v>467</v>
      </c>
      <c r="C30" s="417" t="s">
        <v>45</v>
      </c>
      <c r="D30" s="414"/>
      <c r="E30" s="414"/>
      <c r="F30" s="414"/>
      <c r="G30" s="414"/>
      <c r="H30" s="414"/>
      <c r="I30" s="414"/>
      <c r="J30" s="414"/>
      <c r="K30" s="414"/>
      <c r="L30" s="414"/>
      <c r="M30" s="414"/>
      <c r="N30" s="414"/>
      <c r="O30" s="414"/>
      <c r="P30" s="416">
        <f t="shared" si="0"/>
        <v>0</v>
      </c>
    </row>
    <row r="31" spans="2:16" s="14" customFormat="1" x14ac:dyDescent="0.2">
      <c r="B31" s="736" t="s">
        <v>468</v>
      </c>
      <c r="C31" s="417" t="s">
        <v>45</v>
      </c>
      <c r="D31" s="414"/>
      <c r="E31" s="414"/>
      <c r="F31" s="414"/>
      <c r="G31" s="414"/>
      <c r="H31" s="414"/>
      <c r="I31" s="414"/>
      <c r="J31" s="414"/>
      <c r="K31" s="414"/>
      <c r="L31" s="414"/>
      <c r="M31" s="414"/>
      <c r="N31" s="414"/>
      <c r="O31" s="414"/>
      <c r="P31" s="416">
        <f t="shared" si="0"/>
        <v>0</v>
      </c>
    </row>
    <row r="32" spans="2:16" s="14" customFormat="1" x14ac:dyDescent="0.2">
      <c r="B32" s="736" t="s">
        <v>469</v>
      </c>
      <c r="C32" s="417" t="s">
        <v>45</v>
      </c>
      <c r="D32" s="414">
        <v>12500</v>
      </c>
      <c r="E32" s="414">
        <v>12500</v>
      </c>
      <c r="F32" s="414">
        <v>12500</v>
      </c>
      <c r="G32" s="414">
        <v>12500</v>
      </c>
      <c r="H32" s="414">
        <v>12500</v>
      </c>
      <c r="I32" s="414">
        <v>12500</v>
      </c>
      <c r="J32" s="414">
        <v>12500</v>
      </c>
      <c r="K32" s="414">
        <v>12500</v>
      </c>
      <c r="L32" s="414">
        <v>12500</v>
      </c>
      <c r="M32" s="414">
        <v>12500</v>
      </c>
      <c r="N32" s="414">
        <v>12500</v>
      </c>
      <c r="O32" s="414">
        <v>12500</v>
      </c>
      <c r="P32" s="416">
        <f t="shared" si="0"/>
        <v>150000</v>
      </c>
    </row>
    <row r="33" spans="2:16" s="14" customFormat="1" x14ac:dyDescent="0.2">
      <c r="B33" s="415" t="s">
        <v>59</v>
      </c>
      <c r="C33" s="417" t="s">
        <v>45</v>
      </c>
      <c r="D33" s="414"/>
      <c r="E33" s="414"/>
      <c r="F33" s="414"/>
      <c r="G33" s="414"/>
      <c r="H33" s="414"/>
      <c r="I33" s="414"/>
      <c r="J33" s="414"/>
      <c r="K33" s="414"/>
      <c r="L33" s="414"/>
      <c r="M33" s="414"/>
      <c r="N33" s="414"/>
      <c r="O33" s="414"/>
      <c r="P33" s="416">
        <f t="shared" si="0"/>
        <v>0</v>
      </c>
    </row>
    <row r="34" spans="2:16" s="14" customFormat="1" x14ac:dyDescent="0.2">
      <c r="B34" s="415" t="s">
        <v>216</v>
      </c>
      <c r="C34" s="417" t="s">
        <v>45</v>
      </c>
      <c r="D34" s="414"/>
      <c r="E34" s="414"/>
      <c r="F34" s="414"/>
      <c r="G34" s="414"/>
      <c r="H34" s="414"/>
      <c r="I34" s="414"/>
      <c r="J34" s="414"/>
      <c r="K34" s="414"/>
      <c r="L34" s="414"/>
      <c r="M34" s="414"/>
      <c r="N34" s="414"/>
      <c r="O34" s="414"/>
      <c r="P34" s="416">
        <f t="shared" si="0"/>
        <v>0</v>
      </c>
    </row>
    <row r="35" spans="2:16" s="14" customFormat="1" x14ac:dyDescent="0.2">
      <c r="B35" s="415" t="s">
        <v>217</v>
      </c>
      <c r="C35" s="417" t="s">
        <v>45</v>
      </c>
      <c r="D35" s="414"/>
      <c r="E35" s="414"/>
      <c r="F35" s="414"/>
      <c r="G35" s="414"/>
      <c r="H35" s="414"/>
      <c r="I35" s="414"/>
      <c r="J35" s="414"/>
      <c r="K35" s="414"/>
      <c r="L35" s="414"/>
      <c r="M35" s="414"/>
      <c r="N35" s="414"/>
      <c r="O35" s="414"/>
      <c r="P35" s="416">
        <f t="shared" si="0"/>
        <v>0</v>
      </c>
    </row>
    <row r="36" spans="2:16" s="14" customFormat="1" x14ac:dyDescent="0.2">
      <c r="B36" s="415" t="s">
        <v>215</v>
      </c>
      <c r="C36" s="417" t="s">
        <v>45</v>
      </c>
      <c r="D36" s="414">
        <v>150000</v>
      </c>
      <c r="E36" s="414">
        <v>150000</v>
      </c>
      <c r="F36" s="414">
        <v>150000</v>
      </c>
      <c r="G36" s="414">
        <v>150000</v>
      </c>
      <c r="H36" s="414">
        <v>150000</v>
      </c>
      <c r="I36" s="414">
        <v>150000</v>
      </c>
      <c r="J36" s="414">
        <v>150000</v>
      </c>
      <c r="K36" s="414">
        <v>150000</v>
      </c>
      <c r="L36" s="414">
        <v>150000</v>
      </c>
      <c r="M36" s="414">
        <v>150000</v>
      </c>
      <c r="N36" s="414">
        <v>150000</v>
      </c>
      <c r="O36" s="414">
        <v>150000</v>
      </c>
      <c r="P36" s="416">
        <f t="shared" si="0"/>
        <v>1800000</v>
      </c>
    </row>
    <row r="37" spans="2:16" s="14" customFormat="1" x14ac:dyDescent="0.2">
      <c r="B37" s="415" t="s">
        <v>377</v>
      </c>
      <c r="C37" s="417" t="s">
        <v>45</v>
      </c>
      <c r="D37" s="414"/>
      <c r="E37" s="414"/>
      <c r="F37" s="414"/>
      <c r="G37" s="414"/>
      <c r="H37" s="414"/>
      <c r="I37" s="414"/>
      <c r="J37" s="414"/>
      <c r="K37" s="414"/>
      <c r="L37" s="414"/>
      <c r="M37" s="414"/>
      <c r="N37" s="414"/>
      <c r="O37" s="414"/>
      <c r="P37" s="416">
        <f t="shared" si="0"/>
        <v>0</v>
      </c>
    </row>
    <row r="38" spans="2:16" s="14" customFormat="1" x14ac:dyDescent="0.2">
      <c r="B38" s="418" t="s">
        <v>214</v>
      </c>
      <c r="C38" s="417" t="s">
        <v>45</v>
      </c>
      <c r="D38" s="414"/>
      <c r="E38" s="414"/>
      <c r="F38" s="414"/>
      <c r="G38" s="414"/>
      <c r="H38" s="414"/>
      <c r="I38" s="414"/>
      <c r="J38" s="414"/>
      <c r="K38" s="414"/>
      <c r="L38" s="414"/>
      <c r="M38" s="414"/>
      <c r="N38" s="414"/>
      <c r="O38" s="414"/>
      <c r="P38" s="416">
        <f t="shared" si="0"/>
        <v>0</v>
      </c>
    </row>
    <row r="39" spans="2:16" s="14" customFormat="1" x14ac:dyDescent="0.2">
      <c r="B39" s="419" t="s">
        <v>195</v>
      </c>
      <c r="C39" s="417" t="s">
        <v>45</v>
      </c>
      <c r="D39" s="414"/>
      <c r="E39" s="414"/>
      <c r="F39" s="414"/>
      <c r="G39" s="414"/>
      <c r="H39" s="414"/>
      <c r="I39" s="414"/>
      <c r="J39" s="414"/>
      <c r="K39" s="414"/>
      <c r="L39" s="414"/>
      <c r="M39" s="414"/>
      <c r="N39" s="414"/>
      <c r="O39" s="414"/>
      <c r="P39" s="416">
        <f t="shared" si="0"/>
        <v>0</v>
      </c>
    </row>
    <row r="40" spans="2:16" s="14" customFormat="1" x14ac:dyDescent="0.2">
      <c r="B40" s="420" t="s">
        <v>162</v>
      </c>
      <c r="C40" s="69"/>
      <c r="D40" s="414"/>
      <c r="E40" s="414"/>
      <c r="F40" s="414"/>
      <c r="G40" s="414"/>
      <c r="H40" s="414"/>
      <c r="I40" s="414"/>
      <c r="J40" s="414"/>
      <c r="K40" s="414"/>
      <c r="L40" s="414"/>
      <c r="M40" s="414"/>
      <c r="N40" s="414"/>
      <c r="O40" s="414"/>
      <c r="P40" s="416">
        <f t="shared" si="0"/>
        <v>0</v>
      </c>
    </row>
    <row r="41" spans="2:16" s="14" customFormat="1" x14ac:dyDescent="0.2">
      <c r="B41" s="419" t="s">
        <v>163</v>
      </c>
      <c r="C41" s="69"/>
      <c r="D41" s="414"/>
      <c r="E41" s="414"/>
      <c r="F41" s="414"/>
      <c r="G41" s="414"/>
      <c r="H41" s="414"/>
      <c r="I41" s="414"/>
      <c r="J41" s="414"/>
      <c r="K41" s="414"/>
      <c r="L41" s="414"/>
      <c r="M41" s="414"/>
      <c r="N41" s="414"/>
      <c r="O41" s="414"/>
      <c r="P41" s="416">
        <f t="shared" si="0"/>
        <v>0</v>
      </c>
    </row>
    <row r="42" spans="2:16" s="14" customFormat="1" x14ac:dyDescent="0.2">
      <c r="B42" s="421" t="s">
        <v>164</v>
      </c>
      <c r="C42" s="69"/>
      <c r="D42" s="414"/>
      <c r="E42" s="414"/>
      <c r="F42" s="414"/>
      <c r="G42" s="414"/>
      <c r="H42" s="414"/>
      <c r="I42" s="414"/>
      <c r="J42" s="414"/>
      <c r="K42" s="414"/>
      <c r="L42" s="414"/>
      <c r="M42" s="414"/>
      <c r="N42" s="414"/>
      <c r="O42" s="414"/>
      <c r="P42" s="416">
        <f t="shared" si="0"/>
        <v>0</v>
      </c>
    </row>
    <row r="43" spans="2:16" s="14" customFormat="1" x14ac:dyDescent="0.2">
      <c r="B43" s="420" t="s">
        <v>165</v>
      </c>
      <c r="C43" s="69"/>
      <c r="D43" s="414"/>
      <c r="E43" s="414"/>
      <c r="F43" s="414"/>
      <c r="G43" s="414"/>
      <c r="H43" s="414"/>
      <c r="I43" s="414"/>
      <c r="J43" s="414"/>
      <c r="K43" s="414"/>
      <c r="L43" s="414"/>
      <c r="M43" s="414"/>
      <c r="N43" s="414"/>
      <c r="O43" s="414"/>
      <c r="P43" s="416">
        <f t="shared" si="0"/>
        <v>0</v>
      </c>
    </row>
    <row r="44" spans="2:16" s="14" customFormat="1" x14ac:dyDescent="0.2">
      <c r="B44" s="419" t="s">
        <v>166</v>
      </c>
      <c r="C44" s="69"/>
      <c r="D44" s="414"/>
      <c r="E44" s="414"/>
      <c r="F44" s="414"/>
      <c r="G44" s="414"/>
      <c r="H44" s="414"/>
      <c r="I44" s="414"/>
      <c r="J44" s="414"/>
      <c r="K44" s="414"/>
      <c r="L44" s="414"/>
      <c r="M44" s="414"/>
      <c r="N44" s="414"/>
      <c r="O44" s="414"/>
      <c r="P44" s="416">
        <f t="shared" si="0"/>
        <v>0</v>
      </c>
    </row>
    <row r="45" spans="2:16" s="14" customFormat="1" x14ac:dyDescent="0.2">
      <c r="B45" s="420" t="s">
        <v>167</v>
      </c>
      <c r="C45" s="69"/>
      <c r="D45" s="414"/>
      <c r="E45" s="414"/>
      <c r="F45" s="414"/>
      <c r="G45" s="414"/>
      <c r="H45" s="414"/>
      <c r="I45" s="414"/>
      <c r="J45" s="414"/>
      <c r="K45" s="414"/>
      <c r="L45" s="414"/>
      <c r="M45" s="414"/>
      <c r="N45" s="414"/>
      <c r="O45" s="414"/>
      <c r="P45" s="416">
        <f t="shared" si="0"/>
        <v>0</v>
      </c>
    </row>
    <row r="46" spans="2:16" s="14" customFormat="1" x14ac:dyDescent="0.2">
      <c r="B46" s="420" t="s">
        <v>62</v>
      </c>
      <c r="C46" s="69"/>
      <c r="D46" s="414"/>
      <c r="E46" s="414"/>
      <c r="F46" s="414"/>
      <c r="G46" s="414"/>
      <c r="H46" s="414"/>
      <c r="I46" s="414"/>
      <c r="J46" s="414"/>
      <c r="K46" s="414"/>
      <c r="L46" s="414"/>
      <c r="M46" s="414"/>
      <c r="N46" s="414"/>
      <c r="O46" s="414"/>
      <c r="P46" s="416">
        <f t="shared" si="0"/>
        <v>0</v>
      </c>
    </row>
    <row r="47" spans="2:16" s="14" customFormat="1" x14ac:dyDescent="0.2">
      <c r="B47" s="422"/>
      <c r="C47" s="422"/>
      <c r="D47" s="416">
        <f>SUM(D13:D46)</f>
        <v>8350001</v>
      </c>
      <c r="E47" s="416">
        <f t="shared" ref="E47:O47" si="1">SUM(E13:E46)</f>
        <v>8100001</v>
      </c>
      <c r="F47" s="416">
        <f t="shared" si="1"/>
        <v>8100001</v>
      </c>
      <c r="G47" s="416">
        <f t="shared" si="1"/>
        <v>8350001</v>
      </c>
      <c r="H47" s="416">
        <f t="shared" si="1"/>
        <v>8100001</v>
      </c>
      <c r="I47" s="416">
        <f t="shared" si="1"/>
        <v>8100001</v>
      </c>
      <c r="J47" s="416">
        <f t="shared" si="1"/>
        <v>8350001</v>
      </c>
      <c r="K47" s="416">
        <f t="shared" si="1"/>
        <v>8100001</v>
      </c>
      <c r="L47" s="416">
        <f t="shared" si="1"/>
        <v>8100001</v>
      </c>
      <c r="M47" s="416">
        <f t="shared" si="1"/>
        <v>8350001</v>
      </c>
      <c r="N47" s="416">
        <f t="shared" si="1"/>
        <v>8100001</v>
      </c>
      <c r="O47" s="416">
        <f t="shared" si="1"/>
        <v>8100001</v>
      </c>
      <c r="P47" s="445">
        <f>SUM(P13:P46)</f>
        <v>98200012</v>
      </c>
    </row>
    <row r="48" spans="2:16" s="14" customFormat="1" x14ac:dyDescent="0.2">
      <c r="B48" s="72"/>
      <c r="C48" s="69"/>
      <c r="D48" s="423"/>
      <c r="E48" s="423"/>
      <c r="F48" s="423"/>
      <c r="G48" s="423"/>
      <c r="H48" s="423"/>
      <c r="I48" s="422"/>
      <c r="J48" s="422"/>
      <c r="K48" s="422"/>
      <c r="L48" s="422"/>
      <c r="M48" s="422"/>
      <c r="N48" s="422"/>
      <c r="O48" s="422"/>
      <c r="P48" s="422"/>
    </row>
    <row r="49" spans="2:16" s="11" customFormat="1" x14ac:dyDescent="0.2">
      <c r="B49" s="794"/>
      <c r="C49" s="794"/>
      <c r="D49" s="425"/>
      <c r="E49" s="425"/>
      <c r="F49" s="425"/>
      <c r="G49" s="425"/>
      <c r="H49" s="425"/>
      <c r="I49" s="425"/>
      <c r="J49" s="425"/>
      <c r="K49" s="425"/>
      <c r="L49" s="425"/>
      <c r="M49" s="425"/>
      <c r="N49" s="425"/>
      <c r="O49" s="425"/>
      <c r="P49" s="425"/>
    </row>
    <row r="51" spans="2:16" x14ac:dyDescent="0.2">
      <c r="B51" s="426"/>
      <c r="C51" s="426"/>
      <c r="D51" s="427" t="s">
        <v>325</v>
      </c>
      <c r="E51" s="427" t="s">
        <v>326</v>
      </c>
      <c r="F51" s="427" t="s">
        <v>327</v>
      </c>
      <c r="G51" s="427" t="s">
        <v>328</v>
      </c>
      <c r="H51" s="427" t="s">
        <v>329</v>
      </c>
      <c r="I51" s="427" t="s">
        <v>393</v>
      </c>
    </row>
    <row r="52" spans="2:16" x14ac:dyDescent="0.2">
      <c r="B52" s="124" t="s">
        <v>93</v>
      </c>
      <c r="C52" s="428"/>
      <c r="D52" s="429">
        <f t="shared" ref="D52:I52" si="2">D54+D55+D56+D59+D62+D65+D66+D69+D72+D75+D78+D81+D84+D87+D90+D93+D96+D99+D102+D105+D108+D111+D114+D117+D120+D123+D126</f>
        <v>125508808</v>
      </c>
      <c r="E52" s="429">
        <f t="shared" si="2"/>
        <v>128849198.68800001</v>
      </c>
      <c r="F52" s="429">
        <f t="shared" si="2"/>
        <v>133967645.09049599</v>
      </c>
      <c r="G52" s="429">
        <f t="shared" si="2"/>
        <v>140094316.19451341</v>
      </c>
      <c r="H52" s="429">
        <f t="shared" si="2"/>
        <v>147342874.82255703</v>
      </c>
      <c r="I52" s="429">
        <f t="shared" si="2"/>
        <v>155851719.21202028</v>
      </c>
    </row>
    <row r="53" spans="2:16" x14ac:dyDescent="0.2">
      <c r="B53" s="430"/>
      <c r="C53" s="431"/>
      <c r="D53" s="431"/>
      <c r="E53" s="431"/>
      <c r="F53" s="431"/>
      <c r="G53" s="431"/>
      <c r="H53" s="431"/>
      <c r="I53" s="431"/>
    </row>
    <row r="54" spans="2:16" x14ac:dyDescent="0.2">
      <c r="B54" s="432" t="s">
        <v>278</v>
      </c>
      <c r="C54" s="431"/>
      <c r="D54" s="433">
        <f>+Nomina!AN59</f>
        <v>47308800</v>
      </c>
      <c r="E54" s="433">
        <f>Nomina!F132</f>
        <v>48869990.399999999</v>
      </c>
      <c r="F54" s="433">
        <f>Nomina!I132</f>
        <v>50629310.054399997</v>
      </c>
      <c r="G54" s="433">
        <f>Nomina!L132</f>
        <v>52755741.076684803</v>
      </c>
      <c r="H54" s="433">
        <f>Nomina!O132</f>
        <v>55288016.648365691</v>
      </c>
      <c r="I54" s="433">
        <f>Nomina!R132</f>
        <v>58273569.547377437</v>
      </c>
    </row>
    <row r="55" spans="2:16" x14ac:dyDescent="0.2">
      <c r="B55" s="430"/>
      <c r="C55" s="431"/>
      <c r="D55" s="433"/>
      <c r="E55" s="433"/>
      <c r="F55" s="433"/>
      <c r="G55" s="433"/>
      <c r="H55" s="433"/>
      <c r="I55" s="433"/>
    </row>
    <row r="56" spans="2:16" x14ac:dyDescent="0.2">
      <c r="B56" s="434" t="str">
        <f>+B38</f>
        <v>Hosting y dominio de la página web</v>
      </c>
      <c r="C56" s="431"/>
      <c r="D56" s="433">
        <f>P38</f>
        <v>0</v>
      </c>
      <c r="E56" s="433">
        <f>(D56*(1+E57))</f>
        <v>0</v>
      </c>
      <c r="F56" s="433">
        <f>(E56*(1+F57))</f>
        <v>0</v>
      </c>
      <c r="G56" s="433">
        <f>(F56*(1+G57))</f>
        <v>0</v>
      </c>
      <c r="H56" s="433">
        <f>(G56*(1+H57))</f>
        <v>0</v>
      </c>
      <c r="I56" s="433">
        <f>(H56*(1+I57))</f>
        <v>0</v>
      </c>
    </row>
    <row r="57" spans="2:16" x14ac:dyDescent="0.2">
      <c r="B57" s="435"/>
      <c r="C57" s="431"/>
      <c r="D57" s="415"/>
      <c r="E57" s="436">
        <f>Supuestos!$E$13</f>
        <v>3.5999999999999997E-2</v>
      </c>
      <c r="F57" s="436">
        <f>Supuestos!$F$13</f>
        <v>4.2000000000000003E-2</v>
      </c>
      <c r="G57" s="436">
        <f>Supuestos!$G$13</f>
        <v>4.8000000000000001E-2</v>
      </c>
      <c r="H57" s="436">
        <f>Supuestos!$H$13</f>
        <v>5.3999999999999999E-2</v>
      </c>
      <c r="I57" s="436">
        <f>Supuestos!$I$13</f>
        <v>0.06</v>
      </c>
    </row>
    <row r="58" spans="2:16" x14ac:dyDescent="0.2">
      <c r="B58" s="435" t="s">
        <v>57</v>
      </c>
      <c r="C58" s="431"/>
      <c r="D58" s="415"/>
      <c r="E58" s="436"/>
      <c r="F58" s="436"/>
      <c r="G58" s="436"/>
      <c r="H58" s="436"/>
      <c r="I58" s="436"/>
    </row>
    <row r="59" spans="2:16" x14ac:dyDescent="0.2">
      <c r="B59" s="434" t="str">
        <f>+B20</f>
        <v>Honorarios contador y Revisor Fiscal</v>
      </c>
      <c r="C59" s="431"/>
      <c r="D59" s="433">
        <f>P20</f>
        <v>7200000</v>
      </c>
      <c r="E59" s="433">
        <f>D59*(1+E60)*(1+E61)</f>
        <v>7459200</v>
      </c>
      <c r="F59" s="433">
        <f>E59*(1+F60)*(1+F61)</f>
        <v>7772486.4000000004</v>
      </c>
      <c r="G59" s="433">
        <f>F59*(1+G60)*(1+G61)</f>
        <v>8145565.747200001</v>
      </c>
      <c r="H59" s="433">
        <f>G59*(1+H60)*(1+H61)</f>
        <v>8585426.2975488007</v>
      </c>
      <c r="I59" s="433">
        <f>H59*(1+I60)*(1+I61)</f>
        <v>9100551.8754017297</v>
      </c>
    </row>
    <row r="60" spans="2:16" x14ac:dyDescent="0.2">
      <c r="B60" s="109" t="s">
        <v>58</v>
      </c>
      <c r="C60" s="437"/>
      <c r="D60" s="437"/>
      <c r="E60" s="688">
        <v>0</v>
      </c>
      <c r="F60" s="688">
        <v>0</v>
      </c>
      <c r="G60" s="688">
        <v>0</v>
      </c>
      <c r="H60" s="688">
        <v>0</v>
      </c>
      <c r="I60" s="688">
        <v>0</v>
      </c>
    </row>
    <row r="61" spans="2:16" x14ac:dyDescent="0.2">
      <c r="B61" s="109" t="s">
        <v>56</v>
      </c>
      <c r="C61" s="437"/>
      <c r="D61" s="437"/>
      <c r="E61" s="436">
        <f>Supuestos!$E$13</f>
        <v>3.5999999999999997E-2</v>
      </c>
      <c r="F61" s="436">
        <f>Supuestos!$F$13</f>
        <v>4.2000000000000003E-2</v>
      </c>
      <c r="G61" s="436">
        <f>Supuestos!$G$13</f>
        <v>4.8000000000000001E-2</v>
      </c>
      <c r="H61" s="436">
        <f>Supuestos!$H$13</f>
        <v>5.3999999999999999E-2</v>
      </c>
      <c r="I61" s="436">
        <f>Supuestos!$I$13</f>
        <v>0.06</v>
      </c>
    </row>
    <row r="62" spans="2:16" x14ac:dyDescent="0.2">
      <c r="B62" s="434" t="str">
        <f>+B16</f>
        <v>Servicio de comedor</v>
      </c>
      <c r="C62" s="431"/>
      <c r="D62" s="433">
        <f>+P16</f>
        <v>0</v>
      </c>
      <c r="E62" s="433">
        <f>D62*(1+E63)*(1+E64)</f>
        <v>0</v>
      </c>
      <c r="F62" s="433">
        <f>E62*(1+F63)*(1+F64)</f>
        <v>0</v>
      </c>
      <c r="G62" s="433">
        <f>F62*(1+G63)*(1+G64)</f>
        <v>0</v>
      </c>
      <c r="H62" s="433">
        <f>G62*(1+H63)*(1+H64)</f>
        <v>0</v>
      </c>
      <c r="I62" s="433">
        <f>H62*(1+I63)*(1+I64)</f>
        <v>0</v>
      </c>
    </row>
    <row r="63" spans="2:16" x14ac:dyDescent="0.2">
      <c r="B63" s="109" t="s">
        <v>58</v>
      </c>
      <c r="C63" s="437"/>
      <c r="D63" s="437"/>
      <c r="E63" s="688">
        <v>0</v>
      </c>
      <c r="F63" s="688">
        <v>0</v>
      </c>
      <c r="G63" s="688">
        <v>0</v>
      </c>
      <c r="H63" s="688">
        <v>0</v>
      </c>
      <c r="I63" s="688">
        <v>0</v>
      </c>
    </row>
    <row r="64" spans="2:16" x14ac:dyDescent="0.2">
      <c r="B64" s="109" t="s">
        <v>56</v>
      </c>
      <c r="C64" s="437"/>
      <c r="D64" s="437"/>
      <c r="E64" s="436">
        <f>Supuestos!$E$13</f>
        <v>3.5999999999999997E-2</v>
      </c>
      <c r="F64" s="436">
        <f>Supuestos!$F$13</f>
        <v>4.2000000000000003E-2</v>
      </c>
      <c r="G64" s="436">
        <f>Supuestos!$G$13</f>
        <v>4.8000000000000001E-2</v>
      </c>
      <c r="H64" s="436">
        <f>Supuestos!$H$13</f>
        <v>5.3999999999999999E-2</v>
      </c>
      <c r="I64" s="436">
        <f>Supuestos!$I$13</f>
        <v>0.06</v>
      </c>
    </row>
    <row r="65" spans="2:10" x14ac:dyDescent="0.2">
      <c r="B65" s="434" t="str">
        <f>+B25</f>
        <v>Impuestos industria y comercio</v>
      </c>
      <c r="C65" s="431"/>
      <c r="D65" s="433">
        <f>+P25</f>
        <v>1000000</v>
      </c>
      <c r="E65" s="433">
        <f>O25*3+Ingresos!C758*Supuestos!E40/12*9</f>
        <v>0</v>
      </c>
      <c r="F65" s="433">
        <f>((Ingresos!C758*Supuestos!F40/12*3))+(Ingresos!D758*Supuestos!F40/12*9)</f>
        <v>0</v>
      </c>
      <c r="G65" s="433">
        <f>((Ingresos!D758*Supuestos!G40/12*3))+(Ingresos!E758*Supuestos!G40/12*9)</f>
        <v>0</v>
      </c>
      <c r="H65" s="433">
        <f>((Ingresos!E758*Supuestos!H40/12*3))+(Ingresos!F758*Supuestos!H40/12*9)</f>
        <v>0</v>
      </c>
      <c r="I65" s="433">
        <f>((Ingresos!F758*Supuestos!I40/12*3))+(Ingresos!G758*Supuestos!I40/12*9)</f>
        <v>0</v>
      </c>
    </row>
    <row r="66" spans="2:10" x14ac:dyDescent="0.2">
      <c r="B66" s="434" t="str">
        <f>+B13</f>
        <v>Arriendo</v>
      </c>
      <c r="C66" s="431"/>
      <c r="D66" s="433">
        <f>P13</f>
        <v>48000000</v>
      </c>
      <c r="E66" s="433">
        <f>D66*(1+E67)*(1+E68)</f>
        <v>49728000</v>
      </c>
      <c r="F66" s="433">
        <f>E66*(1+F67)*(1+F68)</f>
        <v>51816576</v>
      </c>
      <c r="G66" s="433">
        <f>F66*(1+G67)*(1+G68)</f>
        <v>54303771.648000002</v>
      </c>
      <c r="H66" s="433">
        <f>G66*(1+H67)*(1+H68)</f>
        <v>57236175.316992007</v>
      </c>
      <c r="I66" s="433">
        <f>H66*(1+I67)*(1+I68)</f>
        <v>60670345.836011529</v>
      </c>
    </row>
    <row r="67" spans="2:10" x14ac:dyDescent="0.2">
      <c r="B67" s="109" t="s">
        <v>58</v>
      </c>
      <c r="C67" s="437"/>
      <c r="D67" s="437"/>
      <c r="E67" s="688">
        <v>0</v>
      </c>
      <c r="F67" s="688">
        <v>0</v>
      </c>
      <c r="G67" s="688">
        <v>0</v>
      </c>
      <c r="H67" s="688">
        <v>0</v>
      </c>
      <c r="I67" s="688">
        <v>0</v>
      </c>
    </row>
    <row r="68" spans="2:10" x14ac:dyDescent="0.2">
      <c r="B68" s="109" t="s">
        <v>56</v>
      </c>
      <c r="C68" s="437"/>
      <c r="D68" s="437"/>
      <c r="E68" s="436">
        <f>Supuestos!$E$13</f>
        <v>3.5999999999999997E-2</v>
      </c>
      <c r="F68" s="436">
        <f>Supuestos!$F$13</f>
        <v>4.2000000000000003E-2</v>
      </c>
      <c r="G68" s="436">
        <f>Supuestos!$G$13</f>
        <v>4.8000000000000001E-2</v>
      </c>
      <c r="H68" s="436">
        <f>Supuestos!$H$13</f>
        <v>5.3999999999999999E-2</v>
      </c>
      <c r="I68" s="436">
        <f>Supuestos!$I$13</f>
        <v>0.06</v>
      </c>
    </row>
    <row r="69" spans="2:10" x14ac:dyDescent="0.2">
      <c r="B69" s="434" t="str">
        <f>+B15</f>
        <v>Mantenimiento equipo de computo</v>
      </c>
      <c r="C69" s="431"/>
      <c r="D69" s="433">
        <f>+P15</f>
        <v>0</v>
      </c>
      <c r="E69" s="433">
        <f>D69*(1+E70)*(1+E71)</f>
        <v>0</v>
      </c>
      <c r="F69" s="433">
        <f>E69*(1+F70)*(1+F71)</f>
        <v>0</v>
      </c>
      <c r="G69" s="433">
        <f>F69*(1+G70)*(1+G71)</f>
        <v>0</v>
      </c>
      <c r="H69" s="433">
        <f>G69*(1+H70)*(1+H71)</f>
        <v>0</v>
      </c>
      <c r="I69" s="433">
        <f>H69*(1+I70)*(1+I71)</f>
        <v>0</v>
      </c>
      <c r="J69" s="438"/>
    </row>
    <row r="70" spans="2:10" x14ac:dyDescent="0.2">
      <c r="B70" s="109" t="s">
        <v>58</v>
      </c>
      <c r="C70" s="437"/>
      <c r="D70" s="437"/>
      <c r="E70" s="688">
        <v>0</v>
      </c>
      <c r="F70" s="688">
        <v>0</v>
      </c>
      <c r="G70" s="688">
        <v>0</v>
      </c>
      <c r="H70" s="688">
        <v>0</v>
      </c>
      <c r="I70" s="688">
        <v>0</v>
      </c>
    </row>
    <row r="71" spans="2:10" x14ac:dyDescent="0.2">
      <c r="B71" s="109" t="s">
        <v>56</v>
      </c>
      <c r="C71" s="437"/>
      <c r="D71" s="437"/>
      <c r="E71" s="436">
        <f>Supuestos!$E$13</f>
        <v>3.5999999999999997E-2</v>
      </c>
      <c r="F71" s="436">
        <f>Supuestos!$F$13</f>
        <v>4.2000000000000003E-2</v>
      </c>
      <c r="G71" s="436">
        <f>Supuestos!$G$13</f>
        <v>4.8000000000000001E-2</v>
      </c>
      <c r="H71" s="436">
        <f>Supuestos!$H$13</f>
        <v>5.3999999999999999E-2</v>
      </c>
      <c r="I71" s="436">
        <f>Supuestos!$I$13</f>
        <v>0.06</v>
      </c>
    </row>
    <row r="72" spans="2:10" x14ac:dyDescent="0.2">
      <c r="B72" s="434" t="str">
        <f>+B32</f>
        <v>Fotocopias y papelería</v>
      </c>
      <c r="C72" s="431"/>
      <c r="D72" s="433">
        <f>P32</f>
        <v>150000</v>
      </c>
      <c r="E72" s="433">
        <f>D72*(1+E73)*(1+E74)</f>
        <v>155400</v>
      </c>
      <c r="F72" s="433">
        <f>E72*(1+F73)*(1+F74)</f>
        <v>161926.80000000002</v>
      </c>
      <c r="G72" s="433">
        <f>F72*(1+G73)*(1+G74)</f>
        <v>169699.28640000001</v>
      </c>
      <c r="H72" s="433">
        <f>G72*(1+H73)*(1+H74)</f>
        <v>178863.04786560003</v>
      </c>
      <c r="I72" s="433">
        <f>H72*(1+I73)*(1+I74)</f>
        <v>189594.83073753605</v>
      </c>
    </row>
    <row r="73" spans="2:10" x14ac:dyDescent="0.2">
      <c r="B73" s="109" t="s">
        <v>58</v>
      </c>
      <c r="C73" s="437"/>
      <c r="D73" s="437"/>
      <c r="E73" s="688">
        <v>0</v>
      </c>
      <c r="F73" s="688">
        <v>0</v>
      </c>
      <c r="G73" s="688">
        <v>0</v>
      </c>
      <c r="H73" s="688">
        <v>0</v>
      </c>
      <c r="I73" s="688">
        <v>0</v>
      </c>
    </row>
    <row r="74" spans="2:10" x14ac:dyDescent="0.2">
      <c r="B74" s="109" t="s">
        <v>60</v>
      </c>
      <c r="C74" s="437"/>
      <c r="D74" s="437"/>
      <c r="E74" s="436">
        <f>Supuestos!$E$13</f>
        <v>3.5999999999999997E-2</v>
      </c>
      <c r="F74" s="436">
        <f>Supuestos!$F$13</f>
        <v>4.2000000000000003E-2</v>
      </c>
      <c r="G74" s="436">
        <f>Supuestos!$G$13</f>
        <v>4.8000000000000001E-2</v>
      </c>
      <c r="H74" s="436">
        <f>Supuestos!$H$13</f>
        <v>5.3999999999999999E-2</v>
      </c>
      <c r="I74" s="436">
        <f>Supuestos!$I$13</f>
        <v>0.06</v>
      </c>
    </row>
    <row r="75" spans="2:10" x14ac:dyDescent="0.2">
      <c r="B75" s="434" t="str">
        <f>+B39</f>
        <v xml:space="preserve">Asistencia Técnica </v>
      </c>
      <c r="C75" s="431"/>
      <c r="D75" s="433">
        <f>P39</f>
        <v>0</v>
      </c>
      <c r="E75" s="433">
        <f>D75*(1+E76)*(1+E77)</f>
        <v>0</v>
      </c>
      <c r="F75" s="433">
        <f>E75*(1+F76)*(1+F77)</f>
        <v>0</v>
      </c>
      <c r="G75" s="433">
        <f>F75*(1+G76)*(1+G77)</f>
        <v>0</v>
      </c>
      <c r="H75" s="433">
        <f>G75*(1+H76)*(1+H77)</f>
        <v>0</v>
      </c>
      <c r="I75" s="433">
        <f>H75*(1+I76)*(1+I77)</f>
        <v>0</v>
      </c>
    </row>
    <row r="76" spans="2:10" x14ac:dyDescent="0.2">
      <c r="B76" s="109" t="s">
        <v>58</v>
      </c>
      <c r="C76" s="437"/>
      <c r="D76" s="437"/>
      <c r="E76" s="688">
        <v>0</v>
      </c>
      <c r="F76" s="688">
        <v>0</v>
      </c>
      <c r="G76" s="688">
        <v>0</v>
      </c>
      <c r="H76" s="688">
        <v>0</v>
      </c>
      <c r="I76" s="688">
        <v>0</v>
      </c>
    </row>
    <row r="77" spans="2:10" x14ac:dyDescent="0.2">
      <c r="B77" s="109" t="s">
        <v>60</v>
      </c>
      <c r="C77" s="437"/>
      <c r="D77" s="437"/>
      <c r="E77" s="439">
        <f>E74</f>
        <v>3.5999999999999997E-2</v>
      </c>
      <c r="F77" s="439">
        <f>F74</f>
        <v>4.2000000000000003E-2</v>
      </c>
      <c r="G77" s="439">
        <f>G74</f>
        <v>4.8000000000000001E-2</v>
      </c>
      <c r="H77" s="439">
        <f>H74</f>
        <v>5.3999999999999999E-2</v>
      </c>
      <c r="I77" s="439">
        <f>I74</f>
        <v>0.06</v>
      </c>
    </row>
    <row r="78" spans="2:10" x14ac:dyDescent="0.2">
      <c r="B78" s="434" t="str">
        <f>+B14</f>
        <v>Servicios Públicos</v>
      </c>
      <c r="C78" s="431"/>
      <c r="D78" s="433">
        <f>+P14</f>
        <v>13800000</v>
      </c>
      <c r="E78" s="433">
        <f>D78*(1+E79)*(1+E80)</f>
        <v>14296800</v>
      </c>
      <c r="F78" s="433">
        <f>E78*(1+F79)*(1+F80)</f>
        <v>14897265.6</v>
      </c>
      <c r="G78" s="433">
        <f>F78*(1+G79)*(1+G80)</f>
        <v>15612334.3488</v>
      </c>
      <c r="H78" s="433">
        <f>G78*(1+H79)*(1+H80)</f>
        <v>16455400.4036352</v>
      </c>
      <c r="I78" s="433">
        <f>H78*(1+I79)*(1+I80)</f>
        <v>17442724.427853312</v>
      </c>
    </row>
    <row r="79" spans="2:10" x14ac:dyDescent="0.2">
      <c r="B79" s="109" t="s">
        <v>58</v>
      </c>
      <c r="C79" s="437"/>
      <c r="D79" s="437"/>
      <c r="E79" s="688">
        <v>0</v>
      </c>
      <c r="F79" s="688">
        <v>0</v>
      </c>
      <c r="G79" s="688">
        <v>0</v>
      </c>
      <c r="H79" s="688">
        <v>0</v>
      </c>
      <c r="I79" s="688">
        <v>0</v>
      </c>
    </row>
    <row r="80" spans="2:10" x14ac:dyDescent="0.2">
      <c r="B80" s="109" t="s">
        <v>60</v>
      </c>
      <c r="C80" s="437"/>
      <c r="D80" s="437"/>
      <c r="E80" s="439">
        <f>E77</f>
        <v>3.5999999999999997E-2</v>
      </c>
      <c r="F80" s="439">
        <f>F77</f>
        <v>4.2000000000000003E-2</v>
      </c>
      <c r="G80" s="439">
        <f>G77</f>
        <v>4.8000000000000001E-2</v>
      </c>
      <c r="H80" s="439">
        <f>H77</f>
        <v>5.3999999999999999E-2</v>
      </c>
      <c r="I80" s="439">
        <f>I77</f>
        <v>0.06</v>
      </c>
    </row>
    <row r="81" spans="2:9" x14ac:dyDescent="0.2">
      <c r="B81" s="434" t="str">
        <f>+B29</f>
        <v>Certificado seguridad bomberos</v>
      </c>
      <c r="C81" s="431"/>
      <c r="D81" s="433">
        <f>+P29</f>
        <v>0</v>
      </c>
      <c r="E81" s="433">
        <f>D81*(1+E82)*(1+E83)</f>
        <v>0</v>
      </c>
      <c r="F81" s="433">
        <f>E81*(1+F82)*(1+F83)</f>
        <v>0</v>
      </c>
      <c r="G81" s="433">
        <f>F81*(1+G82)*(1+G83)</f>
        <v>0</v>
      </c>
      <c r="H81" s="433">
        <f>G81*(1+H82)*(1+H83)</f>
        <v>0</v>
      </c>
      <c r="I81" s="433">
        <f>H81*(1+I82)*(1+I83)</f>
        <v>0</v>
      </c>
    </row>
    <row r="82" spans="2:9" x14ac:dyDescent="0.2">
      <c r="B82" s="109" t="s">
        <v>58</v>
      </c>
      <c r="C82" s="437"/>
      <c r="D82" s="437"/>
      <c r="E82" s="688">
        <v>0</v>
      </c>
      <c r="F82" s="688">
        <v>0</v>
      </c>
      <c r="G82" s="688">
        <v>0</v>
      </c>
      <c r="H82" s="688">
        <v>0</v>
      </c>
      <c r="I82" s="688">
        <v>0</v>
      </c>
    </row>
    <row r="83" spans="2:9" x14ac:dyDescent="0.2">
      <c r="B83" s="109" t="s">
        <v>60</v>
      </c>
      <c r="C83" s="437"/>
      <c r="D83" s="437"/>
      <c r="E83" s="439">
        <f>E77</f>
        <v>3.5999999999999997E-2</v>
      </c>
      <c r="F83" s="439">
        <f>F77</f>
        <v>4.2000000000000003E-2</v>
      </c>
      <c r="G83" s="439">
        <f>G77</f>
        <v>4.8000000000000001E-2</v>
      </c>
      <c r="H83" s="439">
        <f>H77</f>
        <v>5.3999999999999999E-2</v>
      </c>
      <c r="I83" s="439">
        <f>I77</f>
        <v>0.06</v>
      </c>
    </row>
    <row r="84" spans="2:9" x14ac:dyDescent="0.2">
      <c r="B84" s="434" t="str">
        <f>+B27</f>
        <v>Registro de estatutos y acta de creación</v>
      </c>
      <c r="C84" s="431"/>
      <c r="D84" s="433">
        <f>+P27</f>
        <v>0</v>
      </c>
      <c r="E84" s="433">
        <f>D84*(1+E85)*(1+E86)</f>
        <v>0</v>
      </c>
      <c r="F84" s="433">
        <f>E84*(1+F85)*(1+F86)</f>
        <v>0</v>
      </c>
      <c r="G84" s="433">
        <f>F84*(1+G85)*(1+G86)</f>
        <v>0</v>
      </c>
      <c r="H84" s="433">
        <f>G84*(1+H85)*(1+H86)</f>
        <v>0</v>
      </c>
      <c r="I84" s="433">
        <f>H84*(1+I85)*(1+I86)</f>
        <v>0</v>
      </c>
    </row>
    <row r="85" spans="2:9" x14ac:dyDescent="0.2">
      <c r="B85" s="109" t="s">
        <v>58</v>
      </c>
      <c r="C85" s="437"/>
      <c r="D85" s="437"/>
      <c r="E85" s="688">
        <v>0</v>
      </c>
      <c r="F85" s="688">
        <v>0</v>
      </c>
      <c r="G85" s="688">
        <v>0</v>
      </c>
      <c r="H85" s="688">
        <v>0</v>
      </c>
      <c r="I85" s="688">
        <v>0</v>
      </c>
    </row>
    <row r="86" spans="2:9" x14ac:dyDescent="0.2">
      <c r="B86" s="109" t="s">
        <v>56</v>
      </c>
      <c r="C86" s="437"/>
      <c r="D86" s="437"/>
      <c r="E86" s="439">
        <f>E77</f>
        <v>3.5999999999999997E-2</v>
      </c>
      <c r="F86" s="439">
        <f>F77</f>
        <v>4.2000000000000003E-2</v>
      </c>
      <c r="G86" s="439">
        <f>G77</f>
        <v>4.8000000000000001E-2</v>
      </c>
      <c r="H86" s="439">
        <f>H77</f>
        <v>5.3999999999999999E-2</v>
      </c>
      <c r="I86" s="439">
        <f>I77</f>
        <v>0.06</v>
      </c>
    </row>
    <row r="87" spans="2:9" x14ac:dyDescent="0.2">
      <c r="B87" s="434" t="str">
        <f>+B36</f>
        <v>Combustibles y lubricantes</v>
      </c>
      <c r="C87" s="431"/>
      <c r="D87" s="433">
        <f>P36</f>
        <v>1800000</v>
      </c>
      <c r="E87" s="433">
        <f>D87*(1+E88)*(1+E89)</f>
        <v>1864800</v>
      </c>
      <c r="F87" s="433">
        <f>E87*(1+F88)*(1+F89)</f>
        <v>1943121.6</v>
      </c>
      <c r="G87" s="433">
        <f>F87*(1+G88)*(1+G89)</f>
        <v>2036391.4368000003</v>
      </c>
      <c r="H87" s="433">
        <f>G87*(1+H88)*(1+H89)</f>
        <v>2146356.5743872002</v>
      </c>
      <c r="I87" s="433">
        <f>H87*(1+I88)*(1+I89)</f>
        <v>2275137.9688504324</v>
      </c>
    </row>
    <row r="88" spans="2:9" x14ac:dyDescent="0.2">
      <c r="B88" s="109" t="s">
        <v>58</v>
      </c>
      <c r="C88" s="437"/>
      <c r="D88" s="437"/>
      <c r="E88" s="688">
        <v>0</v>
      </c>
      <c r="F88" s="688">
        <v>0</v>
      </c>
      <c r="G88" s="688">
        <v>0</v>
      </c>
      <c r="H88" s="688">
        <v>0</v>
      </c>
      <c r="I88" s="688">
        <v>0</v>
      </c>
    </row>
    <row r="89" spans="2:9" x14ac:dyDescent="0.2">
      <c r="B89" s="109" t="s">
        <v>56</v>
      </c>
      <c r="C89" s="437"/>
      <c r="D89" s="437"/>
      <c r="E89" s="439">
        <f>E86</f>
        <v>3.5999999999999997E-2</v>
      </c>
      <c r="F89" s="439">
        <f>F86</f>
        <v>4.2000000000000003E-2</v>
      </c>
      <c r="G89" s="439">
        <f>G86</f>
        <v>4.8000000000000001E-2</v>
      </c>
      <c r="H89" s="439">
        <f>H86</f>
        <v>5.3999999999999999E-2</v>
      </c>
      <c r="I89" s="439">
        <f>I86</f>
        <v>0.06</v>
      </c>
    </row>
    <row r="90" spans="2:9" x14ac:dyDescent="0.2">
      <c r="B90" s="434" t="str">
        <f>+B23</f>
        <v>Asesorias (Capacitación personal)</v>
      </c>
      <c r="C90" s="431"/>
      <c r="D90" s="433">
        <f>+P23</f>
        <v>6000000</v>
      </c>
      <c r="E90" s="433">
        <f>D90*(1+E91)*(1+E92)</f>
        <v>6216000</v>
      </c>
      <c r="F90" s="433">
        <f>E90*(1+F91)*(1+F92)</f>
        <v>6477072</v>
      </c>
      <c r="G90" s="433">
        <f>F90*(1+G91)*(1+G92)</f>
        <v>6787971.4560000002</v>
      </c>
      <c r="H90" s="433">
        <f>G90*(1+H91)*(1+H92)</f>
        <v>7154521.9146240009</v>
      </c>
      <c r="I90" s="433">
        <f>H90*(1+I91)*(1+I92)</f>
        <v>7583793.2295014411</v>
      </c>
    </row>
    <row r="91" spans="2:9" x14ac:dyDescent="0.2">
      <c r="B91" s="109" t="s">
        <v>58</v>
      </c>
      <c r="C91" s="437"/>
      <c r="D91" s="437"/>
      <c r="E91" s="688">
        <v>0</v>
      </c>
      <c r="F91" s="688">
        <v>0</v>
      </c>
      <c r="G91" s="688">
        <v>0</v>
      </c>
      <c r="H91" s="688">
        <v>0</v>
      </c>
      <c r="I91" s="688">
        <v>0</v>
      </c>
    </row>
    <row r="92" spans="2:9" x14ac:dyDescent="0.2">
      <c r="B92" s="109" t="s">
        <v>56</v>
      </c>
      <c r="C92" s="437"/>
      <c r="D92" s="437"/>
      <c r="E92" s="439">
        <f>E86</f>
        <v>3.5999999999999997E-2</v>
      </c>
      <c r="F92" s="439">
        <f>F86</f>
        <v>4.2000000000000003E-2</v>
      </c>
      <c r="G92" s="439">
        <f>G86</f>
        <v>4.8000000000000001E-2</v>
      </c>
      <c r="H92" s="439">
        <f>H86</f>
        <v>5.3999999999999999E-2</v>
      </c>
      <c r="I92" s="439">
        <f>I86</f>
        <v>0.06</v>
      </c>
    </row>
    <row r="93" spans="2:9" x14ac:dyDescent="0.2">
      <c r="B93" s="434" t="str">
        <f>+B30</f>
        <v>Registro de sanidad</v>
      </c>
      <c r="C93" s="431"/>
      <c r="D93" s="433">
        <f>+P30</f>
        <v>0</v>
      </c>
      <c r="E93" s="433">
        <f>D93*(1+E94)*(1+E95)</f>
        <v>0</v>
      </c>
      <c r="F93" s="433">
        <f>E93*(1+F94)*(1+F95)</f>
        <v>0</v>
      </c>
      <c r="G93" s="433">
        <f>F93*(1+G94)*(1+G95)</f>
        <v>0</v>
      </c>
      <c r="H93" s="433">
        <f>G93*(1+H94)*(1+H95)</f>
        <v>0</v>
      </c>
      <c r="I93" s="433">
        <f>H93*(1+I94)*(1+I95)</f>
        <v>0</v>
      </c>
    </row>
    <row r="94" spans="2:9" x14ac:dyDescent="0.2">
      <c r="B94" s="109" t="s">
        <v>58</v>
      </c>
      <c r="C94" s="437"/>
      <c r="D94" s="437"/>
      <c r="E94" s="688">
        <v>0</v>
      </c>
      <c r="F94" s="688">
        <v>0</v>
      </c>
      <c r="G94" s="688">
        <v>0</v>
      </c>
      <c r="H94" s="688">
        <v>0</v>
      </c>
      <c r="I94" s="688">
        <v>0</v>
      </c>
    </row>
    <row r="95" spans="2:9" x14ac:dyDescent="0.2">
      <c r="B95" s="109" t="s">
        <v>56</v>
      </c>
      <c r="C95" s="437"/>
      <c r="D95" s="437"/>
      <c r="E95" s="439">
        <f>E89</f>
        <v>3.5999999999999997E-2</v>
      </c>
      <c r="F95" s="439">
        <f>F89</f>
        <v>4.2000000000000003E-2</v>
      </c>
      <c r="G95" s="439">
        <f>G89</f>
        <v>4.8000000000000001E-2</v>
      </c>
      <c r="H95" s="439">
        <f>H89</f>
        <v>5.3999999999999999E-2</v>
      </c>
      <c r="I95" s="439">
        <f>I89</f>
        <v>0.06</v>
      </c>
    </row>
    <row r="96" spans="2:9" x14ac:dyDescent="0.2">
      <c r="B96" s="434" t="str">
        <f>+B26</f>
        <v>Libros, Periódicos y Revistas</v>
      </c>
      <c r="C96" s="431"/>
      <c r="D96" s="433">
        <f>P26</f>
        <v>0</v>
      </c>
      <c r="E96" s="433">
        <f>D96*(1+E97)*(1+E98)</f>
        <v>0</v>
      </c>
      <c r="F96" s="433">
        <f>E96*(1+F97)*(1+F98)</f>
        <v>0</v>
      </c>
      <c r="G96" s="433">
        <f>F96*(1+G97)*(1+G98)</f>
        <v>0</v>
      </c>
      <c r="H96" s="433">
        <f>G96*(1+H97)*(1+H98)</f>
        <v>0</v>
      </c>
      <c r="I96" s="433">
        <f>H96*(1+I97)*(1+I98)</f>
        <v>0</v>
      </c>
    </row>
    <row r="97" spans="2:9" x14ac:dyDescent="0.2">
      <c r="B97" s="109" t="s">
        <v>58</v>
      </c>
      <c r="C97" s="437"/>
      <c r="D97" s="437"/>
      <c r="E97" s="688">
        <v>0</v>
      </c>
      <c r="F97" s="688">
        <v>0</v>
      </c>
      <c r="G97" s="688">
        <v>0</v>
      </c>
      <c r="H97" s="688">
        <v>0</v>
      </c>
      <c r="I97" s="688">
        <v>0</v>
      </c>
    </row>
    <row r="98" spans="2:9" x14ac:dyDescent="0.2">
      <c r="B98" s="109" t="s">
        <v>56</v>
      </c>
      <c r="C98" s="437"/>
      <c r="D98" s="437"/>
      <c r="E98" s="439">
        <f>E95</f>
        <v>3.5999999999999997E-2</v>
      </c>
      <c r="F98" s="439">
        <f>F95</f>
        <v>4.2000000000000003E-2</v>
      </c>
      <c r="G98" s="439">
        <f>G95</f>
        <v>4.8000000000000001E-2</v>
      </c>
      <c r="H98" s="439">
        <f>H95</f>
        <v>5.3999999999999999E-2</v>
      </c>
      <c r="I98" s="439">
        <f>I95</f>
        <v>0.06</v>
      </c>
    </row>
    <row r="99" spans="2:9" x14ac:dyDescent="0.2">
      <c r="B99" s="435" t="str">
        <f>+B19</f>
        <v>Suministros de Cafetería y Aseo</v>
      </c>
      <c r="C99" s="431"/>
      <c r="D99" s="433">
        <f>+P19</f>
        <v>0</v>
      </c>
      <c r="E99" s="433">
        <f>D99*(1+E100)*(1+E101)</f>
        <v>0</v>
      </c>
      <c r="F99" s="433">
        <f>E99*(1+F100)*(1+F101)</f>
        <v>0</v>
      </c>
      <c r="G99" s="433">
        <f>F99*(1+G100)*(1+G101)</f>
        <v>0</v>
      </c>
      <c r="H99" s="433">
        <f>G99*(1+H100)*(1+H101)</f>
        <v>0</v>
      </c>
      <c r="I99" s="433">
        <f>H99*(1+I100)*(1+I101)</f>
        <v>0</v>
      </c>
    </row>
    <row r="100" spans="2:9" x14ac:dyDescent="0.2">
      <c r="B100" s="109" t="s">
        <v>58</v>
      </c>
      <c r="C100" s="437"/>
      <c r="D100" s="437"/>
      <c r="E100" s="688">
        <v>0</v>
      </c>
      <c r="F100" s="688">
        <v>0</v>
      </c>
      <c r="G100" s="688">
        <v>0</v>
      </c>
      <c r="H100" s="688">
        <v>0</v>
      </c>
      <c r="I100" s="688">
        <v>0</v>
      </c>
    </row>
    <row r="101" spans="2:9" x14ac:dyDescent="0.2">
      <c r="B101" s="109" t="s">
        <v>56</v>
      </c>
      <c r="C101" s="437"/>
      <c r="D101" s="437"/>
      <c r="E101" s="439">
        <f>E86</f>
        <v>3.5999999999999997E-2</v>
      </c>
      <c r="F101" s="439">
        <f>F86</f>
        <v>4.2000000000000003E-2</v>
      </c>
      <c r="G101" s="439">
        <f>G86</f>
        <v>4.8000000000000001E-2</v>
      </c>
      <c r="H101" s="439">
        <f>H86</f>
        <v>5.3999999999999999E-2</v>
      </c>
      <c r="I101" s="439">
        <f>I86</f>
        <v>0.06</v>
      </c>
    </row>
    <row r="102" spans="2:9" x14ac:dyDescent="0.2">
      <c r="B102" s="430" t="s">
        <v>105</v>
      </c>
      <c r="C102" s="431"/>
      <c r="D102" s="433">
        <f>P17+P24</f>
        <v>250008</v>
      </c>
      <c r="E102" s="433">
        <f>D102*(1+E103)*(1+E104)</f>
        <v>259008.288</v>
      </c>
      <c r="F102" s="433">
        <f>E102*(1+F103)*(1+F104)</f>
        <v>269886.63609600003</v>
      </c>
      <c r="G102" s="433">
        <f>F102*(1+G103)*(1+G104)</f>
        <v>282841.19462860806</v>
      </c>
      <c r="H102" s="433">
        <f>G102*(1+H103)*(1+H104)</f>
        <v>298114.61913855292</v>
      </c>
      <c r="I102" s="433">
        <f>H102*(1+I103)*(1+I104)</f>
        <v>316001.49628686614</v>
      </c>
    </row>
    <row r="103" spans="2:9" x14ac:dyDescent="0.2">
      <c r="B103" s="109" t="s">
        <v>58</v>
      </c>
      <c r="C103" s="437"/>
      <c r="D103" s="437"/>
      <c r="E103" s="688">
        <v>0</v>
      </c>
      <c r="F103" s="688">
        <v>0</v>
      </c>
      <c r="G103" s="688">
        <v>0</v>
      </c>
      <c r="H103" s="688">
        <v>0</v>
      </c>
      <c r="I103" s="688">
        <v>0</v>
      </c>
    </row>
    <row r="104" spans="2:9" x14ac:dyDescent="0.2">
      <c r="B104" s="109" t="s">
        <v>56</v>
      </c>
      <c r="C104" s="437"/>
      <c r="D104" s="437"/>
      <c r="E104" s="439">
        <f>E101</f>
        <v>3.5999999999999997E-2</v>
      </c>
      <c r="F104" s="439">
        <f>F101</f>
        <v>4.2000000000000003E-2</v>
      </c>
      <c r="G104" s="439">
        <f>G101</f>
        <v>4.8000000000000001E-2</v>
      </c>
      <c r="H104" s="439">
        <f>H101</f>
        <v>5.3999999999999999E-2</v>
      </c>
      <c r="I104" s="439">
        <f>I101</f>
        <v>0.06</v>
      </c>
    </row>
    <row r="105" spans="2:9" x14ac:dyDescent="0.2">
      <c r="B105" s="434" t="str">
        <f>+B18</f>
        <v>Otros</v>
      </c>
      <c r="C105" s="431"/>
      <c r="D105" s="433">
        <f>+P18</f>
        <v>0</v>
      </c>
      <c r="E105" s="433">
        <f>D105*(1+E106)*(1+E107)</f>
        <v>0</v>
      </c>
      <c r="F105" s="433">
        <f>E105*(1+F106)*(1+F107)</f>
        <v>0</v>
      </c>
      <c r="G105" s="433">
        <f>F105*(1+G106)*(1+G107)</f>
        <v>0</v>
      </c>
      <c r="H105" s="433">
        <f>G105*(1+H106)*(1+H107)</f>
        <v>0</v>
      </c>
      <c r="I105" s="433">
        <f>H105*(1+I106)*(1+I107)</f>
        <v>0</v>
      </c>
    </row>
    <row r="106" spans="2:9" x14ac:dyDescent="0.2">
      <c r="B106" s="109" t="s">
        <v>58</v>
      </c>
      <c r="C106" s="437"/>
      <c r="D106" s="437"/>
      <c r="E106" s="688">
        <v>0</v>
      </c>
      <c r="F106" s="688">
        <v>0</v>
      </c>
      <c r="G106" s="688">
        <v>0</v>
      </c>
      <c r="H106" s="688">
        <v>0</v>
      </c>
      <c r="I106" s="688">
        <v>0</v>
      </c>
    </row>
    <row r="107" spans="2:9" x14ac:dyDescent="0.2">
      <c r="B107" s="109" t="s">
        <v>56</v>
      </c>
      <c r="C107" s="437"/>
      <c r="D107" s="437"/>
      <c r="E107" s="439">
        <f>E104</f>
        <v>3.5999999999999997E-2</v>
      </c>
      <c r="F107" s="439">
        <f>F104</f>
        <v>4.2000000000000003E-2</v>
      </c>
      <c r="G107" s="439">
        <f>G104</f>
        <v>4.8000000000000001E-2</v>
      </c>
      <c r="H107" s="439">
        <f>H104</f>
        <v>5.3999999999999999E-2</v>
      </c>
      <c r="I107" s="439">
        <f>I104</f>
        <v>0.06</v>
      </c>
    </row>
    <row r="108" spans="2:9" x14ac:dyDescent="0.2">
      <c r="B108" s="434" t="str">
        <f>+B40</f>
        <v>Transporte Fletes y Acarreos</v>
      </c>
      <c r="C108" s="431"/>
      <c r="D108" s="433">
        <f>+P40</f>
        <v>0</v>
      </c>
      <c r="E108" s="433">
        <f>D108*(1+E109)*(1+E110)</f>
        <v>0</v>
      </c>
      <c r="F108" s="433">
        <f>E108*(1+F109)*(1+F110)</f>
        <v>0</v>
      </c>
      <c r="G108" s="433">
        <f>F108*(1+G109)*(1+G110)</f>
        <v>0</v>
      </c>
      <c r="H108" s="433">
        <f>G108*(1+H109)*(1+H110)</f>
        <v>0</v>
      </c>
      <c r="I108" s="433">
        <f>H108*(1+I109)*(1+I110)</f>
        <v>0</v>
      </c>
    </row>
    <row r="109" spans="2:9" x14ac:dyDescent="0.2">
      <c r="B109" s="109" t="s">
        <v>58</v>
      </c>
      <c r="C109" s="437"/>
      <c r="D109" s="437"/>
      <c r="E109" s="688">
        <v>0</v>
      </c>
      <c r="F109" s="688">
        <v>0</v>
      </c>
      <c r="G109" s="688">
        <v>0</v>
      </c>
      <c r="H109" s="688">
        <v>0</v>
      </c>
      <c r="I109" s="688">
        <v>0</v>
      </c>
    </row>
    <row r="110" spans="2:9" x14ac:dyDescent="0.2">
      <c r="B110" s="109" t="s">
        <v>56</v>
      </c>
      <c r="C110" s="437"/>
      <c r="D110" s="437"/>
      <c r="E110" s="439">
        <f>E107</f>
        <v>3.5999999999999997E-2</v>
      </c>
      <c r="F110" s="439">
        <f>F107</f>
        <v>4.2000000000000003E-2</v>
      </c>
      <c r="G110" s="439">
        <f>G107</f>
        <v>4.8000000000000001E-2</v>
      </c>
      <c r="H110" s="439">
        <f>H107</f>
        <v>5.3999999999999999E-2</v>
      </c>
      <c r="I110" s="439">
        <f>I107</f>
        <v>0.06</v>
      </c>
    </row>
    <row r="111" spans="2:9" x14ac:dyDescent="0.2">
      <c r="B111" s="434" t="str">
        <f>+B41</f>
        <v>Mantenimientos Construcciones y Edificaciones</v>
      </c>
      <c r="C111" s="431"/>
      <c r="D111" s="433">
        <f>+P41</f>
        <v>0</v>
      </c>
      <c r="E111" s="433">
        <f>D111*(1+E112)*(1+E113)</f>
        <v>0</v>
      </c>
      <c r="F111" s="433">
        <f>E111*(1+F112)*(1+F113)</f>
        <v>0</v>
      </c>
      <c r="G111" s="433">
        <f>F111*(1+G112)*(1+G113)</f>
        <v>0</v>
      </c>
      <c r="H111" s="433">
        <f>G111*(1+H112)*(1+H113)</f>
        <v>0</v>
      </c>
      <c r="I111" s="433">
        <f>H111*(1+I112)*(1+I113)</f>
        <v>0</v>
      </c>
    </row>
    <row r="112" spans="2:9" x14ac:dyDescent="0.2">
      <c r="B112" s="109" t="s">
        <v>58</v>
      </c>
      <c r="C112" s="437"/>
      <c r="D112" s="437"/>
      <c r="E112" s="688">
        <v>0</v>
      </c>
      <c r="F112" s="688">
        <v>0</v>
      </c>
      <c r="G112" s="688">
        <v>0</v>
      </c>
      <c r="H112" s="688">
        <v>0</v>
      </c>
      <c r="I112" s="688">
        <v>0</v>
      </c>
    </row>
    <row r="113" spans="2:9" x14ac:dyDescent="0.2">
      <c r="B113" s="109" t="s">
        <v>56</v>
      </c>
      <c r="C113" s="437"/>
      <c r="D113" s="437"/>
      <c r="E113" s="439">
        <f>E110</f>
        <v>3.5999999999999997E-2</v>
      </c>
      <c r="F113" s="439">
        <f>F110</f>
        <v>4.2000000000000003E-2</v>
      </c>
      <c r="G113" s="439">
        <f>G110</f>
        <v>4.8000000000000001E-2</v>
      </c>
      <c r="H113" s="439">
        <f>H110</f>
        <v>5.3999999999999999E-2</v>
      </c>
      <c r="I113" s="439">
        <f>I110</f>
        <v>0.06</v>
      </c>
    </row>
    <row r="114" spans="2:9" x14ac:dyDescent="0.2">
      <c r="B114" s="434" t="str">
        <f>+B42</f>
        <v>Mantenimientos Maquinaria y Equipo</v>
      </c>
      <c r="C114" s="431"/>
      <c r="D114" s="433">
        <f>+P42</f>
        <v>0</v>
      </c>
      <c r="E114" s="433">
        <f>D114*(1+E115)*(1+E116)</f>
        <v>0</v>
      </c>
      <c r="F114" s="433">
        <f>E114*(1+F115)*(1+F116)</f>
        <v>0</v>
      </c>
      <c r="G114" s="433">
        <f>F114*(1+G115)*(1+G116)</f>
        <v>0</v>
      </c>
      <c r="H114" s="433">
        <f>G114*(1+H115)*(1+H116)</f>
        <v>0</v>
      </c>
      <c r="I114" s="433">
        <f>H114*(1+I115)*(1+I116)</f>
        <v>0</v>
      </c>
    </row>
    <row r="115" spans="2:9" x14ac:dyDescent="0.2">
      <c r="B115" s="109" t="s">
        <v>58</v>
      </c>
      <c r="C115" s="437"/>
      <c r="D115" s="437"/>
      <c r="E115" s="688">
        <v>0</v>
      </c>
      <c r="F115" s="688">
        <v>0</v>
      </c>
      <c r="G115" s="688">
        <v>0</v>
      </c>
      <c r="H115" s="688">
        <v>0</v>
      </c>
      <c r="I115" s="688">
        <v>0</v>
      </c>
    </row>
    <row r="116" spans="2:9" x14ac:dyDescent="0.2">
      <c r="B116" s="109" t="s">
        <v>56</v>
      </c>
      <c r="C116" s="437"/>
      <c r="D116" s="437"/>
      <c r="E116" s="439">
        <f>E113</f>
        <v>3.5999999999999997E-2</v>
      </c>
      <c r="F116" s="439">
        <f>F113</f>
        <v>4.2000000000000003E-2</v>
      </c>
      <c r="G116" s="439">
        <f>G113</f>
        <v>4.8000000000000001E-2</v>
      </c>
      <c r="H116" s="439">
        <f>H113</f>
        <v>5.3999999999999999E-2</v>
      </c>
      <c r="I116" s="439">
        <f>I113</f>
        <v>0.06</v>
      </c>
    </row>
    <row r="117" spans="2:9" x14ac:dyDescent="0.2">
      <c r="B117" s="434" t="str">
        <f>+B43</f>
        <v>BPM</v>
      </c>
      <c r="C117" s="431"/>
      <c r="D117" s="433">
        <f>+P43</f>
        <v>0</v>
      </c>
      <c r="E117" s="433">
        <f>D117*(1+E118)*(1+E119)</f>
        <v>0</v>
      </c>
      <c r="F117" s="433">
        <f>E117*(1+F118)*(1+F119)</f>
        <v>0</v>
      </c>
      <c r="G117" s="433">
        <f>F117*(1+G118)*(1+G119)</f>
        <v>0</v>
      </c>
      <c r="H117" s="433">
        <f>G117*(1+H118)*(1+H119)</f>
        <v>0</v>
      </c>
      <c r="I117" s="433">
        <f>H117*(1+I118)*(1+I119)</f>
        <v>0</v>
      </c>
    </row>
    <row r="118" spans="2:9" x14ac:dyDescent="0.2">
      <c r="B118" s="109" t="s">
        <v>58</v>
      </c>
      <c r="C118" s="437"/>
      <c r="D118" s="437"/>
      <c r="E118" s="688">
        <v>0</v>
      </c>
      <c r="F118" s="688">
        <v>0</v>
      </c>
      <c r="G118" s="688">
        <v>0</v>
      </c>
      <c r="H118" s="688">
        <v>0</v>
      </c>
      <c r="I118" s="688">
        <v>0</v>
      </c>
    </row>
    <row r="119" spans="2:9" x14ac:dyDescent="0.2">
      <c r="B119" s="109" t="s">
        <v>56</v>
      </c>
      <c r="C119" s="437"/>
      <c r="D119" s="437"/>
      <c r="E119" s="439">
        <f>E116</f>
        <v>3.5999999999999997E-2</v>
      </c>
      <c r="F119" s="439">
        <f>F116</f>
        <v>4.2000000000000003E-2</v>
      </c>
      <c r="G119" s="439">
        <f>G116</f>
        <v>4.8000000000000001E-2</v>
      </c>
      <c r="H119" s="439">
        <f>H116</f>
        <v>5.3999999999999999E-2</v>
      </c>
      <c r="I119" s="439">
        <f>I116</f>
        <v>0.06</v>
      </c>
    </row>
    <row r="120" spans="2:9" x14ac:dyDescent="0.2">
      <c r="B120" s="434" t="str">
        <f>+B44</f>
        <v>Taxis y Buses (pasajes Personal de Producción)</v>
      </c>
      <c r="C120" s="431"/>
      <c r="D120" s="433">
        <f>+P44</f>
        <v>0</v>
      </c>
      <c r="E120" s="433">
        <f>D120*(1+E121)*(1+E122)</f>
        <v>0</v>
      </c>
      <c r="F120" s="433">
        <f>E120*(1+F121)*(1+F122)</f>
        <v>0</v>
      </c>
      <c r="G120" s="433">
        <f>F120*(1+G121)*(1+G122)</f>
        <v>0</v>
      </c>
      <c r="H120" s="433">
        <f>G120*(1+H121)*(1+H122)</f>
        <v>0</v>
      </c>
      <c r="I120" s="433">
        <f>H120*(1+I121)*(1+I122)</f>
        <v>0</v>
      </c>
    </row>
    <row r="121" spans="2:9" x14ac:dyDescent="0.2">
      <c r="B121" s="109" t="s">
        <v>58</v>
      </c>
      <c r="C121" s="437"/>
      <c r="D121" s="437"/>
      <c r="E121" s="688">
        <v>0</v>
      </c>
      <c r="F121" s="688">
        <v>0</v>
      </c>
      <c r="G121" s="688">
        <v>0</v>
      </c>
      <c r="H121" s="688">
        <v>0</v>
      </c>
      <c r="I121" s="688">
        <v>0</v>
      </c>
    </row>
    <row r="122" spans="2:9" x14ac:dyDescent="0.2">
      <c r="B122" s="109" t="s">
        <v>56</v>
      </c>
      <c r="C122" s="437"/>
      <c r="D122" s="437"/>
      <c r="E122" s="439">
        <f>E119</f>
        <v>3.5999999999999997E-2</v>
      </c>
      <c r="F122" s="439">
        <f>F119</f>
        <v>4.2000000000000003E-2</v>
      </c>
      <c r="G122" s="439">
        <f>G119</f>
        <v>4.8000000000000001E-2</v>
      </c>
      <c r="H122" s="439">
        <f>H119</f>
        <v>5.3999999999999999E-2</v>
      </c>
      <c r="I122" s="439">
        <f>I119</f>
        <v>0.06</v>
      </c>
    </row>
    <row r="123" spans="2:9" x14ac:dyDescent="0.2">
      <c r="B123" s="434" t="str">
        <f>+B45</f>
        <v>Casino y Restaurante</v>
      </c>
      <c r="C123" s="431"/>
      <c r="D123" s="433">
        <f>+P45</f>
        <v>0</v>
      </c>
      <c r="E123" s="433">
        <f>D123*(1+E124)*(1+E125)</f>
        <v>0</v>
      </c>
      <c r="F123" s="433">
        <f>E123*(1+F124)*(1+F125)</f>
        <v>0</v>
      </c>
      <c r="G123" s="433">
        <f>F123*(1+G124)*(1+G125)</f>
        <v>0</v>
      </c>
      <c r="H123" s="433">
        <f>G123*(1+H124)*(1+H125)</f>
        <v>0</v>
      </c>
      <c r="I123" s="433">
        <f>H123*(1+I124)*(1+I125)</f>
        <v>0</v>
      </c>
    </row>
    <row r="124" spans="2:9" x14ac:dyDescent="0.2">
      <c r="B124" s="109" t="s">
        <v>58</v>
      </c>
      <c r="C124" s="437"/>
      <c r="D124" s="437"/>
      <c r="E124" s="688">
        <v>0</v>
      </c>
      <c r="F124" s="688">
        <v>0</v>
      </c>
      <c r="G124" s="688">
        <v>0</v>
      </c>
      <c r="H124" s="688">
        <v>0</v>
      </c>
      <c r="I124" s="688">
        <v>0</v>
      </c>
    </row>
    <row r="125" spans="2:9" x14ac:dyDescent="0.2">
      <c r="B125" s="109" t="s">
        <v>56</v>
      </c>
      <c r="C125" s="437"/>
      <c r="D125" s="437"/>
      <c r="E125" s="439">
        <f>E122</f>
        <v>3.5999999999999997E-2</v>
      </c>
      <c r="F125" s="439">
        <f>F122</f>
        <v>4.2000000000000003E-2</v>
      </c>
      <c r="G125" s="439">
        <f>G122</f>
        <v>4.8000000000000001E-2</v>
      </c>
      <c r="H125" s="439">
        <f>H122</f>
        <v>5.3999999999999999E-2</v>
      </c>
      <c r="I125" s="439">
        <f>I122</f>
        <v>0.06</v>
      </c>
    </row>
    <row r="126" spans="2:9" x14ac:dyDescent="0.2">
      <c r="B126" s="434" t="str">
        <f>+B46</f>
        <v>Parqueaderos</v>
      </c>
      <c r="C126" s="431"/>
      <c r="D126" s="433">
        <f>+P46</f>
        <v>0</v>
      </c>
      <c r="E126" s="433">
        <f>D126*(1+E127)*(1+E128)</f>
        <v>0</v>
      </c>
      <c r="F126" s="433">
        <f>E126*(1+F127)*(1+F128)</f>
        <v>0</v>
      </c>
      <c r="G126" s="433">
        <f>F126*(1+G127)*(1+G128)</f>
        <v>0</v>
      </c>
      <c r="H126" s="433">
        <f>G126*(1+H127)*(1+H128)</f>
        <v>0</v>
      </c>
      <c r="I126" s="433">
        <f>H126*(1+I127)*(1+I128)</f>
        <v>0</v>
      </c>
    </row>
    <row r="127" spans="2:9" x14ac:dyDescent="0.2">
      <c r="B127" s="109" t="s">
        <v>58</v>
      </c>
      <c r="C127" s="437"/>
      <c r="D127" s="437"/>
      <c r="E127" s="688">
        <v>0</v>
      </c>
      <c r="F127" s="688">
        <v>0</v>
      </c>
      <c r="G127" s="688">
        <v>0</v>
      </c>
      <c r="H127" s="688">
        <v>0</v>
      </c>
      <c r="I127" s="688">
        <v>0</v>
      </c>
    </row>
    <row r="128" spans="2:9" x14ac:dyDescent="0.2">
      <c r="B128" s="109" t="s">
        <v>56</v>
      </c>
      <c r="C128" s="437"/>
      <c r="D128" s="437"/>
      <c r="E128" s="439">
        <f>E125</f>
        <v>3.5999999999999997E-2</v>
      </c>
      <c r="F128" s="439">
        <f>F125</f>
        <v>4.2000000000000003E-2</v>
      </c>
      <c r="G128" s="439">
        <f>G125</f>
        <v>4.8000000000000001E-2</v>
      </c>
      <c r="H128" s="439">
        <f>H125</f>
        <v>5.3999999999999999E-2</v>
      </c>
      <c r="I128" s="439">
        <f>I125</f>
        <v>0.06</v>
      </c>
    </row>
    <row r="129" spans="2:9" x14ac:dyDescent="0.2">
      <c r="B129" s="114"/>
      <c r="C129" s="440"/>
      <c r="D129" s="72"/>
      <c r="E129" s="441"/>
      <c r="F129" s="441"/>
      <c r="G129" s="441"/>
      <c r="H129" s="441"/>
      <c r="I129" s="441"/>
    </row>
    <row r="132" spans="2:9" x14ac:dyDescent="0.2">
      <c r="B132" s="426"/>
      <c r="C132" s="426"/>
      <c r="D132" s="427" t="s">
        <v>325</v>
      </c>
      <c r="E132" s="427" t="s">
        <v>326</v>
      </c>
      <c r="F132" s="427" t="s">
        <v>327</v>
      </c>
      <c r="G132" s="427" t="s">
        <v>328</v>
      </c>
      <c r="H132" s="427" t="s">
        <v>329</v>
      </c>
      <c r="I132" s="427" t="s">
        <v>393</v>
      </c>
    </row>
    <row r="133" spans="2:9" x14ac:dyDescent="0.2">
      <c r="B133" s="124" t="s">
        <v>92</v>
      </c>
      <c r="C133" s="429"/>
      <c r="D133" s="429">
        <f t="shared" ref="D133:I133" si="3">+D135+D136+D137+D140+D143+D146+D149+D152+D155+D158</f>
        <v>136481280.97440001</v>
      </c>
      <c r="E133" s="429">
        <f t="shared" si="3"/>
        <v>63481245.744000003</v>
      </c>
      <c r="F133" s="429">
        <f t="shared" si="3"/>
        <v>65890890.615648009</v>
      </c>
      <c r="G133" s="429">
        <f t="shared" si="3"/>
        <v>68787849.487413496</v>
      </c>
      <c r="H133" s="429">
        <f t="shared" si="3"/>
        <v>72225425.719081238</v>
      </c>
      <c r="I133" s="429">
        <f t="shared" si="3"/>
        <v>76268689.174822211</v>
      </c>
    </row>
    <row r="134" spans="2:9" x14ac:dyDescent="0.2">
      <c r="B134" s="430"/>
      <c r="C134" s="431"/>
      <c r="D134" s="431"/>
      <c r="E134" s="431"/>
      <c r="F134" s="431"/>
      <c r="G134" s="431"/>
      <c r="H134" s="431"/>
      <c r="I134" s="431"/>
    </row>
    <row r="135" spans="2:9" x14ac:dyDescent="0.2">
      <c r="B135" s="432" t="s">
        <v>63</v>
      </c>
      <c r="C135" s="431"/>
      <c r="D135" s="442">
        <f>+Nomina!AN78</f>
        <v>41395200</v>
      </c>
      <c r="E135" s="442">
        <f>Nomina!F149</f>
        <v>42761241.600000001</v>
      </c>
      <c r="F135" s="442">
        <f>Nomina!I149</f>
        <v>44300646.297600009</v>
      </c>
      <c r="G135" s="442">
        <f>Nomina!L149</f>
        <v>46161273.442099199</v>
      </c>
      <c r="H135" s="442">
        <f>Nomina!O149</f>
        <v>48377014.567319959</v>
      </c>
      <c r="I135" s="442">
        <f>Nomina!R149</f>
        <v>50989373.353955254</v>
      </c>
    </row>
    <row r="136" spans="2:9" x14ac:dyDescent="0.2">
      <c r="B136" s="432" t="s">
        <v>7</v>
      </c>
      <c r="C136" s="431"/>
      <c r="D136" s="442">
        <f>Ingresos!C758*Supuestos!D30</f>
        <v>75086076.974400014</v>
      </c>
      <c r="E136" s="442">
        <f>Ingresos!D758*Supuestos!E30</f>
        <v>0</v>
      </c>
      <c r="F136" s="442">
        <f>Ingresos!E758*Supuestos!F30</f>
        <v>0</v>
      </c>
      <c r="G136" s="442">
        <f>Ingresos!F758*Supuestos!G30</f>
        <v>0</v>
      </c>
      <c r="H136" s="442">
        <f>Ingresos!G758*Supuestos!H30</f>
        <v>0</v>
      </c>
      <c r="I136" s="442">
        <f>Ingresos!H758*Supuestos!I30</f>
        <v>0</v>
      </c>
    </row>
    <row r="137" spans="2:9" x14ac:dyDescent="0.2">
      <c r="B137" s="443" t="str">
        <f>+B33</f>
        <v>Afiliaciones y Sostenimiento</v>
      </c>
      <c r="C137" s="431"/>
      <c r="D137" s="442">
        <f>+P33</f>
        <v>0</v>
      </c>
      <c r="E137" s="442">
        <f>D137*(1+E138)*(1+E139)</f>
        <v>0</v>
      </c>
      <c r="F137" s="442">
        <f>E137*(1+F138)*(1+F139)</f>
        <v>0</v>
      </c>
      <c r="G137" s="442">
        <f>F137*(1+G138)*(1+G139)</f>
        <v>0</v>
      </c>
      <c r="H137" s="442">
        <f>G137*(1+H138)*(1+H139)</f>
        <v>0</v>
      </c>
      <c r="I137" s="442">
        <f>H137*(1+I138)*(1+I139)</f>
        <v>0</v>
      </c>
    </row>
    <row r="138" spans="2:9" x14ac:dyDescent="0.2">
      <c r="B138" s="109" t="s">
        <v>58</v>
      </c>
      <c r="C138" s="437"/>
      <c r="D138" s="437"/>
      <c r="E138" s="688">
        <v>0</v>
      </c>
      <c r="F138" s="688">
        <v>0</v>
      </c>
      <c r="G138" s="688">
        <v>0</v>
      </c>
      <c r="H138" s="688">
        <v>0</v>
      </c>
      <c r="I138" s="688">
        <v>0</v>
      </c>
    </row>
    <row r="139" spans="2:9" x14ac:dyDescent="0.2">
      <c r="B139" s="109" t="s">
        <v>56</v>
      </c>
      <c r="C139" s="437"/>
      <c r="D139" s="437"/>
      <c r="E139" s="439">
        <f>+E107</f>
        <v>3.5999999999999997E-2</v>
      </c>
      <c r="F139" s="439">
        <f>+F107</f>
        <v>4.2000000000000003E-2</v>
      </c>
      <c r="G139" s="439">
        <f>+G107</f>
        <v>4.8000000000000001E-2</v>
      </c>
      <c r="H139" s="439">
        <f>+H107</f>
        <v>5.3999999999999999E-2</v>
      </c>
      <c r="I139" s="439">
        <f>+I107</f>
        <v>0.06</v>
      </c>
    </row>
    <row r="140" spans="2:9" x14ac:dyDescent="0.2">
      <c r="B140" s="434" t="str">
        <f>+B31</f>
        <v>Consulta del nombre</v>
      </c>
      <c r="C140" s="431"/>
      <c r="D140" s="442">
        <f>+P31</f>
        <v>0</v>
      </c>
      <c r="E140" s="442">
        <f>D140*(1+E141)*(1+E142)</f>
        <v>0</v>
      </c>
      <c r="F140" s="442">
        <f>E140*(1+F141)*(1+F142)</f>
        <v>0</v>
      </c>
      <c r="G140" s="442">
        <f>F140*(1+G141)*(1+G142)</f>
        <v>0</v>
      </c>
      <c r="H140" s="442">
        <f>G140*(1+H141)*(1+H142)</f>
        <v>0</v>
      </c>
      <c r="I140" s="442">
        <f>H140*(1+I141)*(1+I142)</f>
        <v>0</v>
      </c>
    </row>
    <row r="141" spans="2:9" x14ac:dyDescent="0.2">
      <c r="B141" s="109" t="s">
        <v>58</v>
      </c>
      <c r="C141" s="437"/>
      <c r="D141" s="437"/>
      <c r="E141" s="688">
        <v>0</v>
      </c>
      <c r="F141" s="688">
        <v>0</v>
      </c>
      <c r="G141" s="688">
        <v>0</v>
      </c>
      <c r="H141" s="688">
        <v>0</v>
      </c>
      <c r="I141" s="688">
        <v>0</v>
      </c>
    </row>
    <row r="142" spans="2:9" x14ac:dyDescent="0.2">
      <c r="B142" s="109" t="s">
        <v>60</v>
      </c>
      <c r="C142" s="437"/>
      <c r="D142" s="437"/>
      <c r="E142" s="439">
        <f>+E139</f>
        <v>3.5999999999999997E-2</v>
      </c>
      <c r="F142" s="439">
        <f>+F139</f>
        <v>4.2000000000000003E-2</v>
      </c>
      <c r="G142" s="439">
        <f>+G139</f>
        <v>4.8000000000000001E-2</v>
      </c>
      <c r="H142" s="439">
        <f>+H139</f>
        <v>5.3999999999999999E-2</v>
      </c>
      <c r="I142" s="439">
        <f>+I139</f>
        <v>0.06</v>
      </c>
    </row>
    <row r="143" spans="2:9" x14ac:dyDescent="0.2">
      <c r="B143" s="434" t="str">
        <f>+B22</f>
        <v>Publicidad y Promoción</v>
      </c>
      <c r="C143" s="431"/>
      <c r="D143" s="442">
        <f>P22</f>
        <v>20000004</v>
      </c>
      <c r="E143" s="442">
        <f>D143*(1+E144)*(1+E145)</f>
        <v>20720004.144000001</v>
      </c>
      <c r="F143" s="442">
        <f>E143*(1+F144)*(1+F145)</f>
        <v>21590244.318048</v>
      </c>
      <c r="G143" s="442">
        <f>F143*(1+G144)*(1+G145)</f>
        <v>22626576.045314305</v>
      </c>
      <c r="H143" s="442">
        <f>G143*(1+H144)*(1+H145)</f>
        <v>23848411.151761279</v>
      </c>
      <c r="I143" s="442">
        <f>H143*(1+I144)*(1+I145)</f>
        <v>25279315.820866957</v>
      </c>
    </row>
    <row r="144" spans="2:9" x14ac:dyDescent="0.2">
      <c r="B144" s="109" t="s">
        <v>58</v>
      </c>
      <c r="C144" s="437"/>
      <c r="D144" s="437"/>
      <c r="E144" s="688">
        <v>0</v>
      </c>
      <c r="F144" s="688">
        <v>0</v>
      </c>
      <c r="G144" s="688">
        <v>0</v>
      </c>
      <c r="H144" s="688">
        <v>0</v>
      </c>
      <c r="I144" s="688">
        <v>0</v>
      </c>
    </row>
    <row r="145" spans="2:9" x14ac:dyDescent="0.2">
      <c r="B145" s="109" t="s">
        <v>56</v>
      </c>
      <c r="C145" s="437"/>
      <c r="D145" s="437"/>
      <c r="E145" s="439">
        <f>E142</f>
        <v>3.5999999999999997E-2</v>
      </c>
      <c r="F145" s="439">
        <f>F142</f>
        <v>4.2000000000000003E-2</v>
      </c>
      <c r="G145" s="439">
        <f>G142</f>
        <v>4.8000000000000001E-2</v>
      </c>
      <c r="H145" s="439">
        <f>H142</f>
        <v>5.3999999999999999E-2</v>
      </c>
      <c r="I145" s="439">
        <f>I142</f>
        <v>0.06</v>
      </c>
    </row>
    <row r="146" spans="2:9" x14ac:dyDescent="0.2">
      <c r="B146" s="434" t="str">
        <f>+B34</f>
        <v>Participación en ferias</v>
      </c>
      <c r="C146" s="431"/>
      <c r="D146" s="442">
        <f>+P34</f>
        <v>0</v>
      </c>
      <c r="E146" s="442">
        <f>D146*(1+E147)*(1+E148)</f>
        <v>0</v>
      </c>
      <c r="F146" s="442">
        <f>E146*(1+F147)*(1+F148)</f>
        <v>0</v>
      </c>
      <c r="G146" s="442">
        <f>F146*(1+G147)*(1+G148)</f>
        <v>0</v>
      </c>
      <c r="H146" s="442">
        <f>G146*(1+H147)*(1+H148)</f>
        <v>0</v>
      </c>
      <c r="I146" s="442">
        <f>H146*(1+I147)*(1+I148)</f>
        <v>0</v>
      </c>
    </row>
    <row r="147" spans="2:9" x14ac:dyDescent="0.2">
      <c r="B147" s="109" t="s">
        <v>58</v>
      </c>
      <c r="C147" s="437"/>
      <c r="D147" s="437"/>
      <c r="E147" s="688">
        <v>0</v>
      </c>
      <c r="F147" s="688">
        <v>0</v>
      </c>
      <c r="G147" s="688">
        <v>0</v>
      </c>
      <c r="H147" s="688">
        <v>0</v>
      </c>
      <c r="I147" s="688">
        <v>0</v>
      </c>
    </row>
    <row r="148" spans="2:9" x14ac:dyDescent="0.2">
      <c r="B148" s="109" t="s">
        <v>56</v>
      </c>
      <c r="C148" s="437"/>
      <c r="D148" s="437"/>
      <c r="E148" s="439">
        <f>E145</f>
        <v>3.5999999999999997E-2</v>
      </c>
      <c r="F148" s="439">
        <f>F145</f>
        <v>4.2000000000000003E-2</v>
      </c>
      <c r="G148" s="439">
        <f>G145</f>
        <v>4.8000000000000001E-2</v>
      </c>
      <c r="H148" s="439">
        <f>H145</f>
        <v>5.3999999999999999E-2</v>
      </c>
      <c r="I148" s="439">
        <f>I145</f>
        <v>0.06</v>
      </c>
    </row>
    <row r="149" spans="2:9" x14ac:dyDescent="0.2">
      <c r="B149" s="434" t="str">
        <f>+B21</f>
        <v>Viáticos y Gastos de Viaje</v>
      </c>
      <c r="C149" s="431"/>
      <c r="D149" s="442">
        <f>+P21</f>
        <v>0</v>
      </c>
      <c r="E149" s="442">
        <f>D149*(1+E150)*(1+E151)</f>
        <v>0</v>
      </c>
      <c r="F149" s="442">
        <f>E149*(1+F150)*(1+F151)</f>
        <v>0</v>
      </c>
      <c r="G149" s="442">
        <f>F149*(1+G150)*(1+G151)</f>
        <v>0</v>
      </c>
      <c r="H149" s="442">
        <f>G149*(1+H150)*(1+H151)</f>
        <v>0</v>
      </c>
      <c r="I149" s="442">
        <f>H149*(1+I150)*(1+I151)</f>
        <v>0</v>
      </c>
    </row>
    <row r="150" spans="2:9" x14ac:dyDescent="0.2">
      <c r="B150" s="109" t="s">
        <v>58</v>
      </c>
      <c r="C150" s="437"/>
      <c r="D150" s="437"/>
      <c r="E150" s="688">
        <v>0</v>
      </c>
      <c r="F150" s="688">
        <v>0</v>
      </c>
      <c r="G150" s="688">
        <v>0</v>
      </c>
      <c r="H150" s="688">
        <v>0</v>
      </c>
      <c r="I150" s="688">
        <v>0</v>
      </c>
    </row>
    <row r="151" spans="2:9" x14ac:dyDescent="0.2">
      <c r="B151" s="109" t="s">
        <v>56</v>
      </c>
      <c r="C151" s="437"/>
      <c r="D151" s="437"/>
      <c r="E151" s="439">
        <f>E148</f>
        <v>3.5999999999999997E-2</v>
      </c>
      <c r="F151" s="439">
        <f>F148</f>
        <v>4.2000000000000003E-2</v>
      </c>
      <c r="G151" s="439">
        <f>G148</f>
        <v>4.8000000000000001E-2</v>
      </c>
      <c r="H151" s="439">
        <f>H148</f>
        <v>5.3999999999999999E-2</v>
      </c>
      <c r="I151" s="439">
        <f>I148</f>
        <v>0.06</v>
      </c>
    </row>
    <row r="152" spans="2:9" x14ac:dyDescent="0.2">
      <c r="B152" s="434" t="str">
        <f>+B35</f>
        <v>Relaciones publicas</v>
      </c>
      <c r="C152" s="431"/>
      <c r="D152" s="442">
        <f>+P35</f>
        <v>0</v>
      </c>
      <c r="E152" s="442">
        <f>D152*(1+E153)*(1+E154)</f>
        <v>0</v>
      </c>
      <c r="F152" s="442">
        <f>E152*(1+F153)*(1+F154)</f>
        <v>0</v>
      </c>
      <c r="G152" s="442">
        <f>F152*(1+G153)*(1+G154)</f>
        <v>0</v>
      </c>
      <c r="H152" s="442">
        <f>G152*(1+H153)*(1+H154)</f>
        <v>0</v>
      </c>
      <c r="I152" s="442">
        <f>H152*(1+I153)*(1+I154)</f>
        <v>0</v>
      </c>
    </row>
    <row r="153" spans="2:9" x14ac:dyDescent="0.2">
      <c r="B153" s="109" t="s">
        <v>58</v>
      </c>
      <c r="C153" s="437"/>
      <c r="D153" s="437"/>
      <c r="E153" s="688">
        <v>0</v>
      </c>
      <c r="F153" s="688">
        <v>0</v>
      </c>
      <c r="G153" s="688">
        <v>0</v>
      </c>
      <c r="H153" s="688">
        <v>0</v>
      </c>
      <c r="I153" s="688">
        <v>0</v>
      </c>
    </row>
    <row r="154" spans="2:9" x14ac:dyDescent="0.2">
      <c r="B154" s="109" t="s">
        <v>56</v>
      </c>
      <c r="C154" s="437"/>
      <c r="D154" s="437"/>
      <c r="E154" s="439">
        <f>E151</f>
        <v>3.5999999999999997E-2</v>
      </c>
      <c r="F154" s="439">
        <f>F151</f>
        <v>4.2000000000000003E-2</v>
      </c>
      <c r="G154" s="439">
        <f>G151</f>
        <v>4.8000000000000001E-2</v>
      </c>
      <c r="H154" s="439">
        <f>H151</f>
        <v>5.3999999999999999E-2</v>
      </c>
      <c r="I154" s="439">
        <f>I151</f>
        <v>0.06</v>
      </c>
    </row>
    <row r="155" spans="2:9" x14ac:dyDescent="0.2">
      <c r="B155" s="434" t="str">
        <f>+B37</f>
        <v>Otros de ventas (servicio externo de mensajería)</v>
      </c>
      <c r="C155" s="431"/>
      <c r="D155" s="442">
        <f>+P37</f>
        <v>0</v>
      </c>
      <c r="E155" s="442">
        <f>D155*(1+E156)*(1+E157)</f>
        <v>0</v>
      </c>
      <c r="F155" s="442">
        <f>E155*(1+F156)*(1+F157)</f>
        <v>0</v>
      </c>
      <c r="G155" s="442">
        <f>F155*(1+G156)*(1+G157)</f>
        <v>0</v>
      </c>
      <c r="H155" s="442">
        <f>G155*(1+H156)*(1+H157)</f>
        <v>0</v>
      </c>
      <c r="I155" s="442">
        <f>H155*(1+I156)*(1+I157)</f>
        <v>0</v>
      </c>
    </row>
    <row r="156" spans="2:9" x14ac:dyDescent="0.2">
      <c r="B156" s="109" t="s">
        <v>58</v>
      </c>
      <c r="C156" s="437"/>
      <c r="D156" s="437"/>
      <c r="E156" s="688">
        <v>0</v>
      </c>
      <c r="F156" s="688">
        <v>0</v>
      </c>
      <c r="G156" s="688">
        <v>0</v>
      </c>
      <c r="H156" s="688">
        <v>0</v>
      </c>
      <c r="I156" s="688">
        <v>0</v>
      </c>
    </row>
    <row r="157" spans="2:9" x14ac:dyDescent="0.2">
      <c r="B157" s="109" t="s">
        <v>56</v>
      </c>
      <c r="C157" s="437"/>
      <c r="D157" s="437"/>
      <c r="E157" s="439">
        <f>+E154</f>
        <v>3.5999999999999997E-2</v>
      </c>
      <c r="F157" s="439">
        <f>+F154</f>
        <v>4.2000000000000003E-2</v>
      </c>
      <c r="G157" s="439">
        <f>+G154</f>
        <v>4.8000000000000001E-2</v>
      </c>
      <c r="H157" s="439">
        <f>+H154</f>
        <v>5.3999999999999999E-2</v>
      </c>
      <c r="I157" s="439">
        <f>+I154</f>
        <v>0.06</v>
      </c>
    </row>
    <row r="158" spans="2:9" x14ac:dyDescent="0.2">
      <c r="B158" s="434" t="str">
        <f>+B28</f>
        <v>Inscripción camara de comercio del nordeste y Magdalena medio</v>
      </c>
      <c r="C158" s="431"/>
      <c r="D158" s="433">
        <f>+P28</f>
        <v>0</v>
      </c>
      <c r="E158" s="433">
        <f>D158*(1+E159)*(1+E160)</f>
        <v>0</v>
      </c>
      <c r="F158" s="433">
        <f>E158*(1+F159)*(1+F160)</f>
        <v>0</v>
      </c>
      <c r="G158" s="433">
        <f>F158*(1+G159)*(1+G160)</f>
        <v>0</v>
      </c>
      <c r="H158" s="433">
        <f>G158*(1+H159)*(1+H160)</f>
        <v>0</v>
      </c>
      <c r="I158" s="433">
        <f>H158*(1+I159)*(1+I160)</f>
        <v>0</v>
      </c>
    </row>
    <row r="159" spans="2:9" x14ac:dyDescent="0.2">
      <c r="B159" s="109" t="s">
        <v>58</v>
      </c>
      <c r="C159" s="437"/>
      <c r="D159" s="437"/>
      <c r="E159" s="688">
        <v>0</v>
      </c>
      <c r="F159" s="688">
        <v>0</v>
      </c>
      <c r="G159" s="688">
        <v>0</v>
      </c>
      <c r="H159" s="688">
        <v>0</v>
      </c>
      <c r="I159" s="688">
        <v>0</v>
      </c>
    </row>
    <row r="160" spans="2:9" x14ac:dyDescent="0.2">
      <c r="B160" s="109" t="s">
        <v>56</v>
      </c>
      <c r="C160" s="437"/>
      <c r="D160" s="437"/>
      <c r="E160" s="439">
        <f>E98</f>
        <v>3.5999999999999997E-2</v>
      </c>
      <c r="F160" s="439">
        <f>F98</f>
        <v>4.2000000000000003E-2</v>
      </c>
      <c r="G160" s="439">
        <f>G98</f>
        <v>4.8000000000000001E-2</v>
      </c>
      <c r="H160" s="439">
        <f>H98</f>
        <v>5.3999999999999999E-2</v>
      </c>
      <c r="I160" s="439">
        <f>I98</f>
        <v>0.06</v>
      </c>
    </row>
    <row r="162" spans="4:9" x14ac:dyDescent="0.2">
      <c r="D162" s="444"/>
      <c r="E162" s="444"/>
      <c r="F162" s="444"/>
      <c r="G162" s="444"/>
      <c r="H162" s="444"/>
      <c r="I162" s="85"/>
    </row>
    <row r="163" spans="4:9" x14ac:dyDescent="0.2">
      <c r="D163" s="444"/>
      <c r="E163" s="444"/>
      <c r="F163" s="444"/>
      <c r="G163" s="444"/>
      <c r="H163" s="444"/>
    </row>
    <row r="164" spans="4:9" x14ac:dyDescent="0.2">
      <c r="D164" s="444"/>
      <c r="E164" s="444"/>
      <c r="F164" s="444"/>
      <c r="G164" s="444"/>
      <c r="H164" s="444"/>
    </row>
    <row r="165" spans="4:9" x14ac:dyDescent="0.2">
      <c r="D165" s="444"/>
      <c r="E165" s="444"/>
      <c r="F165" s="444"/>
      <c r="G165" s="444"/>
      <c r="H165" s="444"/>
    </row>
    <row r="166" spans="4:9" x14ac:dyDescent="0.2">
      <c r="D166" s="444"/>
      <c r="E166" s="444"/>
      <c r="F166" s="444"/>
      <c r="G166" s="444"/>
      <c r="H166" s="444"/>
    </row>
  </sheetData>
  <mergeCells count="4">
    <mergeCell ref="P11:P12"/>
    <mergeCell ref="B8:P8"/>
    <mergeCell ref="B9:P9"/>
    <mergeCell ref="B49:C49"/>
  </mergeCells>
  <phoneticPr fontId="0" type="noConversion"/>
  <printOptions horizontalCentered="1" verticalCentered="1"/>
  <pageMargins left="0.19685039370078741" right="0.19685039370078741" top="0.19685039370078741" bottom="0.39370078740157483" header="0" footer="0"/>
  <pageSetup paperSize="9" scale="65" orientation="landscape" horizontalDpi="300" verticalDpi="300" r:id="rId1"/>
  <headerFooter alignWithMargins="0"/>
  <rowBreaks count="2" manualBreakCount="2">
    <brk id="49" max="16383" man="1"/>
    <brk id="129" max="15" man="1"/>
  </rowBreaks>
  <drawing r:id="rId2"/>
  <legacyDrawing r:id="rId3"/>
  <controls>
    <mc:AlternateContent xmlns:mc="http://schemas.openxmlformats.org/markup-compatibility/2006">
      <mc:Choice Requires="x14">
        <control shapeId="16948" r:id="rId4" name="CommandButton1">
          <controlPr defaultSize="0" autoLine="0" r:id="rId5">
            <anchor moveWithCells="1">
              <from>
                <xdr:col>1</xdr:col>
                <xdr:colOff>9525</xdr:colOff>
                <xdr:row>1</xdr:row>
                <xdr:rowOff>142875</xdr:rowOff>
              </from>
              <to>
                <xdr:col>1</xdr:col>
                <xdr:colOff>1695450</xdr:colOff>
                <xdr:row>5</xdr:row>
                <xdr:rowOff>85725</xdr:rowOff>
              </to>
            </anchor>
          </controlPr>
        </control>
      </mc:Choice>
      <mc:Fallback>
        <control shapeId="16948" r:id="rId4" name="CommandButton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B1:O58"/>
  <sheetViews>
    <sheetView showGridLines="0" topLeftCell="A31" zoomScale="144" zoomScaleNormal="90" workbookViewId="0">
      <selection activeCell="A53" sqref="A53"/>
    </sheetView>
  </sheetViews>
  <sheetFormatPr baseColWidth="10" defaultRowHeight="12.75" x14ac:dyDescent="0.2"/>
  <cols>
    <col min="1" max="1" width="3.7109375" customWidth="1"/>
    <col min="2" max="2" width="36.5703125" style="28" customWidth="1"/>
    <col min="3" max="3" width="14.28515625" style="28" customWidth="1"/>
    <col min="4" max="4" width="15.42578125" style="28" customWidth="1"/>
    <col min="5" max="5" width="15" style="28" customWidth="1"/>
    <col min="6" max="6" width="15.42578125" style="28" customWidth="1"/>
    <col min="7" max="7" width="12.42578125" style="28" customWidth="1"/>
    <col min="8" max="9" width="13.140625" style="28" bestFit="1" customWidth="1"/>
    <col min="10" max="10" width="17.7109375" style="28" customWidth="1"/>
    <col min="11" max="11" width="14.7109375" style="28" customWidth="1"/>
    <col min="12" max="12" width="12" style="28" bestFit="1" customWidth="1"/>
    <col min="13" max="13" width="11.5703125" style="28" bestFit="1" customWidth="1"/>
    <col min="14" max="14" width="12" style="28" bestFit="1" customWidth="1"/>
    <col min="15" max="15" width="12.7109375" style="28" bestFit="1" customWidth="1"/>
  </cols>
  <sheetData>
    <row r="1" spans="2:9" x14ac:dyDescent="0.2">
      <c r="C1" s="23"/>
      <c r="F1" s="23"/>
      <c r="G1" s="23"/>
      <c r="H1" s="23"/>
    </row>
    <row r="8" spans="2:9" x14ac:dyDescent="0.2">
      <c r="B8" s="795"/>
      <c r="C8" s="796"/>
      <c r="D8" s="797"/>
    </row>
    <row r="9" spans="2:9" x14ac:dyDescent="0.2">
      <c r="B9" s="759" t="s">
        <v>81</v>
      </c>
      <c r="C9" s="760"/>
      <c r="D9" s="761"/>
      <c r="E9" s="447"/>
      <c r="G9" s="23"/>
      <c r="H9" s="447"/>
      <c r="I9" s="447"/>
    </row>
    <row r="10" spans="2:9" x14ac:dyDescent="0.2">
      <c r="B10" s="448"/>
      <c r="C10" s="39"/>
      <c r="D10" s="449"/>
      <c r="E10" s="23"/>
      <c r="F10" s="23"/>
      <c r="G10" s="23"/>
      <c r="H10" s="23"/>
      <c r="I10" s="23"/>
    </row>
    <row r="11" spans="2:9" x14ac:dyDescent="0.2">
      <c r="B11" s="78" t="s">
        <v>200</v>
      </c>
      <c r="C11" s="27" t="s">
        <v>284</v>
      </c>
      <c r="D11" s="26"/>
      <c r="E11" s="23"/>
      <c r="F11" s="23"/>
      <c r="G11" s="23"/>
      <c r="H11" s="23"/>
      <c r="I11" s="23"/>
    </row>
    <row r="12" spans="2:9" x14ac:dyDescent="0.2">
      <c r="B12" s="26" t="str">
        <f>'BG_P&amp;G'!B14</f>
        <v>Costo Mercancía Vendida</v>
      </c>
      <c r="C12" s="118"/>
      <c r="D12" s="110">
        <f>'BG_P&amp;G'!C14</f>
        <v>1053324916.668</v>
      </c>
      <c r="E12" s="23"/>
      <c r="F12" s="23"/>
      <c r="G12" s="23"/>
      <c r="H12" s="23"/>
      <c r="I12" s="23"/>
    </row>
    <row r="13" spans="2:9" x14ac:dyDescent="0.2">
      <c r="B13" s="78" t="s">
        <v>83</v>
      </c>
      <c r="C13" s="731">
        <v>2</v>
      </c>
      <c r="D13" s="451">
        <f>(SUM(D12:D12)/12)*C13</f>
        <v>175554152.778</v>
      </c>
      <c r="E13" s="23"/>
      <c r="F13" s="23"/>
      <c r="G13" s="23"/>
      <c r="H13" s="23"/>
      <c r="I13" s="23"/>
    </row>
    <row r="14" spans="2:9" x14ac:dyDescent="0.2">
      <c r="B14" s="26"/>
      <c r="C14" s="118"/>
      <c r="D14" s="32"/>
      <c r="E14" s="23"/>
      <c r="F14" s="23"/>
      <c r="G14" s="23"/>
      <c r="H14" s="23"/>
      <c r="I14" s="23"/>
    </row>
    <row r="15" spans="2:9" x14ac:dyDescent="0.2">
      <c r="B15" s="26" t="str">
        <f>'BG_P&amp;G'!B16</f>
        <v>Gastos de Administración</v>
      </c>
      <c r="C15" s="446">
        <v>1.2</v>
      </c>
      <c r="D15" s="451">
        <f>+('BG_P&amp;G'!C16/12)*'Capital de trabajo'!C15</f>
        <v>12550880.800000001</v>
      </c>
      <c r="E15" s="450"/>
      <c r="F15" s="450"/>
      <c r="G15" s="23"/>
      <c r="H15" s="23"/>
      <c r="I15" s="23"/>
    </row>
    <row r="16" spans="2:9" x14ac:dyDescent="0.2">
      <c r="B16" s="26" t="str">
        <f>'BG_P&amp;G'!B17</f>
        <v>Gastos de Ventas</v>
      </c>
      <c r="C16" s="446">
        <v>1.2</v>
      </c>
      <c r="D16" s="451">
        <f>+('BG_P&amp;G'!C17/12)*'Capital de trabajo'!C16</f>
        <v>13648128.097440002</v>
      </c>
      <c r="E16" s="450"/>
      <c r="F16" s="450"/>
      <c r="G16" s="23"/>
      <c r="H16" s="23"/>
      <c r="I16" s="23"/>
    </row>
    <row r="17" spans="2:10" x14ac:dyDescent="0.2">
      <c r="B17" s="26"/>
      <c r="C17" s="118"/>
      <c r="D17" s="26"/>
      <c r="E17" s="23"/>
      <c r="F17" s="23"/>
      <c r="G17" s="23"/>
      <c r="H17" s="23"/>
      <c r="I17" s="23"/>
    </row>
    <row r="18" spans="2:10" x14ac:dyDescent="0.2">
      <c r="B18" s="123" t="s">
        <v>84</v>
      </c>
      <c r="C18" s="138"/>
      <c r="D18" s="159">
        <f>D13+D15+D16</f>
        <v>201753161.67544001</v>
      </c>
      <c r="E18" s="23"/>
      <c r="F18" s="23"/>
      <c r="G18" s="23"/>
      <c r="H18" s="23"/>
      <c r="I18" s="23"/>
    </row>
    <row r="19" spans="2:10" x14ac:dyDescent="0.2">
      <c r="B19" s="23"/>
      <c r="C19" s="23"/>
      <c r="D19" s="23"/>
      <c r="E19" s="23"/>
      <c r="F19" s="23"/>
      <c r="G19" s="23"/>
      <c r="H19" s="23"/>
      <c r="I19" s="23"/>
    </row>
    <row r="20" spans="2:10" x14ac:dyDescent="0.2">
      <c r="B20" s="754" t="str">
        <f>Supuestos!B8</f>
        <v>Centro de acopio la Bonanza Campesina</v>
      </c>
      <c r="C20" s="755"/>
      <c r="D20" s="755"/>
      <c r="E20" s="755"/>
      <c r="F20" s="755"/>
      <c r="G20" s="755"/>
      <c r="H20" s="755"/>
      <c r="I20" s="755"/>
      <c r="J20" s="755"/>
    </row>
    <row r="21" spans="2:10" x14ac:dyDescent="0.2">
      <c r="B21" s="754" t="s">
        <v>109</v>
      </c>
      <c r="C21" s="755"/>
      <c r="D21" s="755"/>
      <c r="E21" s="755"/>
      <c r="F21" s="755"/>
      <c r="G21" s="755"/>
      <c r="H21" s="755"/>
      <c r="I21" s="755"/>
      <c r="J21" s="755"/>
    </row>
    <row r="22" spans="2:10" x14ac:dyDescent="0.2">
      <c r="B22" s="23"/>
      <c r="C22" s="23"/>
      <c r="D22" s="23"/>
      <c r="E22" s="23"/>
      <c r="F22" s="23"/>
      <c r="G22" s="23"/>
      <c r="H22" s="23"/>
      <c r="I22" s="23"/>
    </row>
    <row r="23" spans="2:10" x14ac:dyDescent="0.2">
      <c r="B23" s="123" t="s">
        <v>81</v>
      </c>
      <c r="C23" s="138"/>
      <c r="D23" s="124" t="s">
        <v>4</v>
      </c>
      <c r="E23" s="124" t="s">
        <v>325</v>
      </c>
      <c r="F23" s="124" t="s">
        <v>326</v>
      </c>
      <c r="G23" s="124" t="s">
        <v>327</v>
      </c>
      <c r="H23" s="124" t="s">
        <v>328</v>
      </c>
      <c r="I23" s="124" t="s">
        <v>329</v>
      </c>
      <c r="J23" s="124" t="s">
        <v>393</v>
      </c>
    </row>
    <row r="24" spans="2:10" x14ac:dyDescent="0.2">
      <c r="B24" s="26"/>
      <c r="C24" s="26"/>
      <c r="D24" s="113"/>
      <c r="E24" s="113"/>
      <c r="F24" s="113"/>
      <c r="G24" s="113"/>
      <c r="H24" s="113"/>
      <c r="I24" s="113"/>
      <c r="J24" s="113"/>
    </row>
    <row r="25" spans="2:10" x14ac:dyDescent="0.2">
      <c r="B25" s="112" t="str">
        <f>'BG_P&amp;G'!B55</f>
        <v>Caja (Días de Ventas)</v>
      </c>
      <c r="C25" s="112"/>
      <c r="D25" s="110">
        <f>D18</f>
        <v>201753161.67544001</v>
      </c>
      <c r="E25" s="110">
        <f>'BG_P&amp;G'!D55</f>
        <v>0</v>
      </c>
      <c r="F25" s="110">
        <f>'BG_P&amp;G'!E55</f>
        <v>0</v>
      </c>
      <c r="G25" s="110">
        <f>'BG_P&amp;G'!F55</f>
        <v>0</v>
      </c>
      <c r="H25" s="110">
        <f>'BG_P&amp;G'!G55</f>
        <v>0</v>
      </c>
      <c r="I25" s="110">
        <f>'BG_P&amp;G'!H55</f>
        <v>0</v>
      </c>
      <c r="J25" s="110">
        <f>'BG_P&amp;G'!I55</f>
        <v>0</v>
      </c>
    </row>
    <row r="26" spans="2:10" x14ac:dyDescent="0.2">
      <c r="B26" s="112" t="str">
        <f>'BG_P&amp;G'!B57</f>
        <v>Inversiones Temporales</v>
      </c>
      <c r="C26" s="112"/>
      <c r="D26" s="110"/>
      <c r="E26" s="110">
        <f>'BG_P&amp;G'!D57</f>
        <v>0</v>
      </c>
      <c r="F26" s="110">
        <f>'BG_P&amp;G'!E57</f>
        <v>0</v>
      </c>
      <c r="G26" s="110">
        <f>'BG_P&amp;G'!F57</f>
        <v>0</v>
      </c>
      <c r="H26" s="110">
        <f>'BG_P&amp;G'!G57</f>
        <v>0</v>
      </c>
      <c r="I26" s="110">
        <f>'BG_P&amp;G'!H57</f>
        <v>0</v>
      </c>
      <c r="J26" s="110">
        <f>'BG_P&amp;G'!I57</f>
        <v>0</v>
      </c>
    </row>
    <row r="27" spans="2:10" x14ac:dyDescent="0.2">
      <c r="B27" s="112" t="str">
        <f>'BG_P&amp;G'!B58</f>
        <v>Cuentas x Cobrar a Clientes</v>
      </c>
      <c r="C27" s="112"/>
      <c r="D27" s="110"/>
      <c r="E27" s="110">
        <f>'BG_P&amp;G'!D58</f>
        <v>0</v>
      </c>
      <c r="F27" s="110">
        <f>'BG_P&amp;G'!E58</f>
        <v>0</v>
      </c>
      <c r="G27" s="110">
        <f>'BG_P&amp;G'!F58</f>
        <v>0</v>
      </c>
      <c r="H27" s="110">
        <f>'BG_P&amp;G'!G58</f>
        <v>0</v>
      </c>
      <c r="I27" s="110">
        <f>'BG_P&amp;G'!H58</f>
        <v>0</v>
      </c>
      <c r="J27" s="110">
        <f>'BG_P&amp;G'!I58</f>
        <v>0</v>
      </c>
    </row>
    <row r="28" spans="2:10" x14ac:dyDescent="0.2">
      <c r="B28" s="112" t="str">
        <f>'BG_P&amp;G'!B59</f>
        <v>Inventarios</v>
      </c>
      <c r="C28" s="112"/>
      <c r="D28" s="110"/>
      <c r="E28" s="110">
        <f>'BG_P&amp;G'!D59</f>
        <v>0</v>
      </c>
      <c r="F28" s="110">
        <f>'BG_P&amp;G'!E59</f>
        <v>0</v>
      </c>
      <c r="G28" s="110">
        <f>'BG_P&amp;G'!F59</f>
        <v>0</v>
      </c>
      <c r="H28" s="110">
        <f>'BG_P&amp;G'!G59</f>
        <v>0</v>
      </c>
      <c r="I28" s="110">
        <f>'BG_P&amp;G'!H59</f>
        <v>0</v>
      </c>
      <c r="J28" s="110">
        <f>'BG_P&amp;G'!I59</f>
        <v>0</v>
      </c>
    </row>
    <row r="29" spans="2:10" x14ac:dyDescent="0.2">
      <c r="B29" s="112" t="str">
        <f>'BG_P&amp;G'!B60</f>
        <v>Otras Activos Corrientes</v>
      </c>
      <c r="C29" s="112"/>
      <c r="D29" s="110"/>
      <c r="E29" s="110">
        <f>'BG_P&amp;G'!D60</f>
        <v>0</v>
      </c>
      <c r="F29" s="110">
        <f>'BG_P&amp;G'!E60</f>
        <v>0</v>
      </c>
      <c r="G29" s="110">
        <f>'BG_P&amp;G'!F60</f>
        <v>0</v>
      </c>
      <c r="H29" s="110">
        <f>'BG_P&amp;G'!G60</f>
        <v>0</v>
      </c>
      <c r="I29" s="110">
        <f>'BG_P&amp;G'!H60</f>
        <v>0</v>
      </c>
      <c r="J29" s="110">
        <f>'BG_P&amp;G'!I60</f>
        <v>0</v>
      </c>
    </row>
    <row r="30" spans="2:10" x14ac:dyDescent="0.2">
      <c r="B30" s="430" t="str">
        <f>'BG_P&amp;G'!B61</f>
        <v>Total Activos Corrientes</v>
      </c>
      <c r="C30" s="430"/>
      <c r="D30" s="451">
        <f>SUM(D25:D29)</f>
        <v>201753161.67544001</v>
      </c>
      <c r="E30" s="451">
        <f t="shared" ref="E30:I30" si="0">SUM(E25:E29)</f>
        <v>0</v>
      </c>
      <c r="F30" s="451">
        <f t="shared" si="0"/>
        <v>0</v>
      </c>
      <c r="G30" s="451">
        <f t="shared" si="0"/>
        <v>0</v>
      </c>
      <c r="H30" s="451">
        <f t="shared" si="0"/>
        <v>0</v>
      </c>
      <c r="I30" s="451">
        <f t="shared" si="0"/>
        <v>0</v>
      </c>
      <c r="J30" s="451">
        <f>SUM(J25:J29)</f>
        <v>0</v>
      </c>
    </row>
    <row r="31" spans="2:10" x14ac:dyDescent="0.2">
      <c r="B31" s="26"/>
      <c r="C31" s="26"/>
      <c r="D31" s="110"/>
      <c r="E31" s="110"/>
      <c r="F31" s="110"/>
      <c r="G31" s="110"/>
      <c r="H31" s="110"/>
      <c r="I31" s="110"/>
      <c r="J31" s="110"/>
    </row>
    <row r="32" spans="2:10" x14ac:dyDescent="0.2">
      <c r="B32" s="26" t="str">
        <f>'BG_P&amp;G'!B77</f>
        <v>Préstamos de Corto Plazo</v>
      </c>
      <c r="C32" s="26"/>
      <c r="D32" s="110">
        <v>0</v>
      </c>
      <c r="E32" s="110">
        <f>'BG_P&amp;G'!D77</f>
        <v>0</v>
      </c>
      <c r="F32" s="110">
        <f>'BG_P&amp;G'!E77</f>
        <v>0</v>
      </c>
      <c r="G32" s="110">
        <f>'BG_P&amp;G'!F77</f>
        <v>0</v>
      </c>
      <c r="H32" s="110">
        <f>'BG_P&amp;G'!G77</f>
        <v>0</v>
      </c>
      <c r="I32" s="110">
        <f>'BG_P&amp;G'!H77</f>
        <v>0</v>
      </c>
      <c r="J32" s="110">
        <f>'BG_P&amp;G'!I77</f>
        <v>0</v>
      </c>
    </row>
    <row r="33" spans="2:15" x14ac:dyDescent="0.2">
      <c r="B33" s="26" t="str">
        <f>'BG_P&amp;G'!B78</f>
        <v>Cuentas por Pagar a Proveedores</v>
      </c>
      <c r="C33" s="26"/>
      <c r="D33" s="110">
        <v>0</v>
      </c>
      <c r="E33" s="110">
        <f>'BG_P&amp;G'!D78</f>
        <v>0</v>
      </c>
      <c r="F33" s="110">
        <f>'BG_P&amp;G'!E78</f>
        <v>0</v>
      </c>
      <c r="G33" s="110">
        <f>'BG_P&amp;G'!F78</f>
        <v>0</v>
      </c>
      <c r="H33" s="110">
        <f>'BG_P&amp;G'!G78</f>
        <v>0</v>
      </c>
      <c r="I33" s="110">
        <f>'BG_P&amp;G'!H78</f>
        <v>0</v>
      </c>
      <c r="J33" s="110">
        <f>'BG_P&amp;G'!I78</f>
        <v>0</v>
      </c>
    </row>
    <row r="34" spans="2:15" x14ac:dyDescent="0.2">
      <c r="B34" s="26" t="str">
        <f>'BG_P&amp;G'!B79</f>
        <v>Impuestos por Pagar</v>
      </c>
      <c r="C34" s="26"/>
      <c r="D34" s="110">
        <v>0</v>
      </c>
      <c r="E34" s="110">
        <f>'BG_P&amp;G'!D79</f>
        <v>49290496.474686593</v>
      </c>
      <c r="F34" s="110">
        <f>'BG_P&amp;G'!E79</f>
        <v>205470278.62361452</v>
      </c>
      <c r="G34" s="110">
        <f>'BG_P&amp;G'!F79</f>
        <v>230510220.35523808</v>
      </c>
      <c r="H34" s="110">
        <f>'BG_P&amp;G'!G79</f>
        <v>259037731.27370951</v>
      </c>
      <c r="I34" s="110">
        <f>'BG_P&amp;G'!H79</f>
        <v>291679708.35370034</v>
      </c>
      <c r="J34" s="110">
        <f>'BG_P&amp;G'!I79</f>
        <v>339120008.86559814</v>
      </c>
    </row>
    <row r="35" spans="2:15" x14ac:dyDescent="0.2">
      <c r="B35" s="26" t="str">
        <f>'BG_P&amp;G'!B80</f>
        <v>Otras Cuentas por Pagar de Corto Plazo</v>
      </c>
      <c r="C35" s="26"/>
      <c r="D35" s="110">
        <v>0</v>
      </c>
      <c r="E35" s="110">
        <f>'BG_P&amp;G'!D80</f>
        <v>0</v>
      </c>
      <c r="F35" s="110">
        <f>'BG_P&amp;G'!E80</f>
        <v>0</v>
      </c>
      <c r="G35" s="110">
        <f>'BG_P&amp;G'!F80</f>
        <v>0</v>
      </c>
      <c r="H35" s="110">
        <f>'BG_P&amp;G'!G80</f>
        <v>0</v>
      </c>
      <c r="I35" s="110">
        <f>'BG_P&amp;G'!H80</f>
        <v>0</v>
      </c>
      <c r="J35" s="110">
        <f>'BG_P&amp;G'!I80</f>
        <v>0</v>
      </c>
    </row>
    <row r="36" spans="2:15" x14ac:dyDescent="0.2">
      <c r="B36" s="78" t="str">
        <f>'BG_P&amp;G'!B82</f>
        <v>Total Pasivo de Corto Plazo</v>
      </c>
      <c r="C36" s="78"/>
      <c r="D36" s="451">
        <f t="shared" ref="D36:J36" si="1">SUM(D32:D35)</f>
        <v>0</v>
      </c>
      <c r="E36" s="451">
        <f>SUM(E32:E35)</f>
        <v>49290496.474686593</v>
      </c>
      <c r="F36" s="451">
        <f t="shared" si="1"/>
        <v>205470278.62361452</v>
      </c>
      <c r="G36" s="451">
        <f t="shared" si="1"/>
        <v>230510220.35523808</v>
      </c>
      <c r="H36" s="451">
        <f t="shared" si="1"/>
        <v>259037731.27370951</v>
      </c>
      <c r="I36" s="451">
        <f t="shared" si="1"/>
        <v>291679708.35370034</v>
      </c>
      <c r="J36" s="451">
        <f t="shared" si="1"/>
        <v>339120008.86559814</v>
      </c>
    </row>
    <row r="37" spans="2:15" x14ac:dyDescent="0.2">
      <c r="B37" s="78"/>
      <c r="C37" s="78"/>
      <c r="D37" s="110"/>
      <c r="E37" s="110"/>
      <c r="F37" s="110"/>
      <c r="G37" s="110"/>
      <c r="H37" s="110"/>
      <c r="I37" s="110"/>
      <c r="J37" s="110"/>
    </row>
    <row r="38" spans="2:15" x14ac:dyDescent="0.2">
      <c r="B38" s="123" t="s">
        <v>81</v>
      </c>
      <c r="C38" s="123"/>
      <c r="D38" s="157">
        <f t="shared" ref="D38:I38" si="2">D30-D26-(D36-D32)</f>
        <v>201753161.67544001</v>
      </c>
      <c r="E38" s="157">
        <f>E30-E26-(E36-E32)</f>
        <v>-49290496.474686593</v>
      </c>
      <c r="F38" s="157">
        <f t="shared" si="2"/>
        <v>-205470278.62361452</v>
      </c>
      <c r="G38" s="157">
        <f t="shared" si="2"/>
        <v>-230510220.35523808</v>
      </c>
      <c r="H38" s="157">
        <f t="shared" si="2"/>
        <v>-259037731.27370951</v>
      </c>
      <c r="I38" s="157">
        <f t="shared" si="2"/>
        <v>-291679708.35370034</v>
      </c>
      <c r="J38" s="157">
        <f>J30-J26-(J36-J32)</f>
        <v>-339120008.86559814</v>
      </c>
    </row>
    <row r="39" spans="2:15" x14ac:dyDescent="0.2">
      <c r="B39" s="123" t="s">
        <v>82</v>
      </c>
      <c r="C39" s="123"/>
      <c r="D39" s="157"/>
      <c r="E39" s="157">
        <f t="shared" ref="E39:J39" si="3">E38-D38</f>
        <v>-251043658.15012661</v>
      </c>
      <c r="F39" s="157">
        <f t="shared" si="3"/>
        <v>-156179782.14892793</v>
      </c>
      <c r="G39" s="157">
        <f t="shared" si="3"/>
        <v>-25039941.73162356</v>
      </c>
      <c r="H39" s="157">
        <f t="shared" si="3"/>
        <v>-28527510.918471426</v>
      </c>
      <c r="I39" s="157">
        <f t="shared" si="3"/>
        <v>-32641977.079990834</v>
      </c>
      <c r="J39" s="157">
        <f t="shared" si="3"/>
        <v>-47440300.511897802</v>
      </c>
    </row>
    <row r="40" spans="2:15" x14ac:dyDescent="0.2">
      <c r="B40" s="23"/>
      <c r="C40" s="23"/>
      <c r="D40" s="452"/>
      <c r="E40" s="452"/>
      <c r="F40" s="452"/>
      <c r="G40" s="452"/>
      <c r="H40" s="452"/>
      <c r="I40" s="452"/>
    </row>
    <row r="41" spans="2:15" x14ac:dyDescent="0.2">
      <c r="B41" s="23"/>
      <c r="C41" s="23"/>
      <c r="D41" s="452"/>
      <c r="E41" s="452"/>
      <c r="F41" s="452"/>
      <c r="G41" s="452"/>
      <c r="H41" s="452"/>
      <c r="I41" s="452"/>
    </row>
    <row r="42" spans="2:15" x14ac:dyDescent="0.2">
      <c r="B42" s="23"/>
      <c r="C42" s="416" t="s">
        <v>48</v>
      </c>
      <c r="D42" s="416" t="s">
        <v>48</v>
      </c>
      <c r="E42" s="416" t="s">
        <v>48</v>
      </c>
      <c r="F42" s="416" t="s">
        <v>48</v>
      </c>
      <c r="G42" s="416" t="s">
        <v>48</v>
      </c>
      <c r="H42" s="416" t="s">
        <v>48</v>
      </c>
      <c r="I42" s="416" t="s">
        <v>48</v>
      </c>
      <c r="J42" s="416" t="s">
        <v>48</v>
      </c>
      <c r="K42" s="416" t="s">
        <v>48</v>
      </c>
      <c r="L42" s="416" t="s">
        <v>48</v>
      </c>
      <c r="M42" s="416" t="s">
        <v>48</v>
      </c>
      <c r="N42" s="416" t="s">
        <v>48</v>
      </c>
      <c r="O42" s="787" t="s">
        <v>2</v>
      </c>
    </row>
    <row r="43" spans="2:15" x14ac:dyDescent="0.2">
      <c r="B43" s="24"/>
      <c r="C43" s="416">
        <v>1</v>
      </c>
      <c r="D43" s="416">
        <v>2</v>
      </c>
      <c r="E43" s="416">
        <v>3</v>
      </c>
      <c r="F43" s="416">
        <v>4</v>
      </c>
      <c r="G43" s="416">
        <v>5</v>
      </c>
      <c r="H43" s="416">
        <v>6</v>
      </c>
      <c r="I43" s="416">
        <v>7</v>
      </c>
      <c r="J43" s="416">
        <v>8</v>
      </c>
      <c r="K43" s="416">
        <v>9</v>
      </c>
      <c r="L43" s="416">
        <v>10</v>
      </c>
      <c r="M43" s="416">
        <v>11</v>
      </c>
      <c r="N43" s="416">
        <v>12</v>
      </c>
      <c r="O43" s="787"/>
    </row>
    <row r="44" spans="2:15" x14ac:dyDescent="0.2">
      <c r="B44" s="112" t="s">
        <v>278</v>
      </c>
      <c r="C44" s="415">
        <f>Nomina!F59</f>
        <v>3942400</v>
      </c>
      <c r="D44" s="415">
        <f>Nomina!I59</f>
        <v>3942400</v>
      </c>
      <c r="E44" s="415">
        <f>Nomina!L59</f>
        <v>3942400</v>
      </c>
      <c r="F44" s="415">
        <f>Nomina!O59</f>
        <v>3942400</v>
      </c>
      <c r="G44" s="415">
        <f>Nomina!R59</f>
        <v>3942400</v>
      </c>
      <c r="H44" s="415">
        <f>Nomina!U59</f>
        <v>3942400</v>
      </c>
      <c r="I44" s="415">
        <f>Nomina!X59</f>
        <v>3942400</v>
      </c>
      <c r="J44" s="415">
        <v>0</v>
      </c>
      <c r="K44" s="415">
        <v>0</v>
      </c>
      <c r="L44" s="415">
        <v>0</v>
      </c>
      <c r="M44" s="415">
        <v>0</v>
      </c>
      <c r="N44" s="415">
        <f>Nomina!AM59</f>
        <v>3942400</v>
      </c>
      <c r="O44" s="416">
        <f>SUM(C44:N44)</f>
        <v>31539200</v>
      </c>
    </row>
    <row r="45" spans="2:15" x14ac:dyDescent="0.2">
      <c r="B45" s="112" t="s">
        <v>118</v>
      </c>
      <c r="C45" s="415">
        <f>Gastos!D13+Gastos!D14+Gastos!D15+Gastos!D16+Gastos!D17+Gastos!D18+Gastos!D19+Gastos!D20+Gastos!D23+Gastos!D24+Gastos!D25+Gastos!D26+Gastos!D27+Gastos!D28+Gastos!D29+Gastos!D30+Gastos!D32+Gastos!D36+Gastos!D39+Gastos!D40+Gastos!D41+Gastos!D42+Gastos!D43+Gastos!D44+Gastos!D45+Gastos!D46</f>
        <v>6683334</v>
      </c>
      <c r="D45" s="415">
        <f>Gastos!E13+Gastos!E14+Gastos!E15+Gastos!E16+Gastos!E17+Gastos!E18+Gastos!E19+Gastos!E20+Gastos!E23+Gastos!E24+Gastos!E25+Gastos!E26+Gastos!E27+Gastos!E28+Gastos!E29+Gastos!E30+Gastos!E32+Gastos!E36+Gastos!E39+Gastos!E40+Gastos!E41+Gastos!E42+Gastos!E43+Gastos!E44+Gastos!E45+Gastos!E46</f>
        <v>6433334</v>
      </c>
      <c r="E45" s="415">
        <f>Gastos!F13+Gastos!F14+Gastos!F15+Gastos!F16+Gastos!F17+Gastos!F18+Gastos!F19+Gastos!F20+Gastos!F23+Gastos!F24+Gastos!F25+Gastos!F26+Gastos!F27+Gastos!F28+Gastos!F29+Gastos!F30+Gastos!F32+Gastos!F36+Gastos!F39+Gastos!F40+Gastos!F41+Gastos!F42+Gastos!F43+Gastos!F44+Gastos!F45+Gastos!F46</f>
        <v>6433334</v>
      </c>
      <c r="F45" s="415">
        <f>Gastos!G13+Gastos!G14+Gastos!G15+Gastos!G16+Gastos!G17+Gastos!G18+Gastos!G19+Gastos!G20+Gastos!G23+Gastos!G24+Gastos!G25+Gastos!G26+Gastos!G27+Gastos!G28+Gastos!G29+Gastos!G30+Gastos!G32+Gastos!G36+Gastos!G39+Gastos!G40+Gastos!G41+Gastos!G42+Gastos!G43+Gastos!G44+Gastos!G45+Gastos!G46</f>
        <v>6683334</v>
      </c>
      <c r="G45" s="415">
        <f>Gastos!H13+Gastos!H14+Gastos!H15+Gastos!H16+Gastos!H17+Gastos!H18+Gastos!H19+Gastos!H20+Gastos!H23+Gastos!H24+Gastos!H25+Gastos!H26+Gastos!H27+Gastos!H28+Gastos!H29+Gastos!H30+Gastos!H32+Gastos!H36+Gastos!H39+Gastos!H40+Gastos!H41+Gastos!H42+Gastos!H43+Gastos!H44+Gastos!H45+Gastos!H46</f>
        <v>6433334</v>
      </c>
      <c r="H45" s="415">
        <f>Gastos!I13+Gastos!I14+Gastos!I15+Gastos!I16+Gastos!I17+Gastos!I18+Gastos!I19+Gastos!I20+Gastos!I23+Gastos!I24+Gastos!I25+Gastos!I26+Gastos!I27+Gastos!I28+Gastos!I29+Gastos!I30+Gastos!I32+Gastos!I36+Gastos!I39+Gastos!I40+Gastos!I41+Gastos!I42+Gastos!I43+Gastos!I44+Gastos!I45+Gastos!I46</f>
        <v>6433334</v>
      </c>
      <c r="I45" s="415">
        <f>Gastos!J13+Gastos!J14+Gastos!J15+Gastos!J16+Gastos!J17+Gastos!J18+Gastos!J19+Gastos!J20+Gastos!J23+Gastos!J24+Gastos!J25+Gastos!J26+Gastos!J27+Gastos!J28+Gastos!J29+Gastos!J30+Gastos!J32+Gastos!J36+Gastos!J39+Gastos!J40+Gastos!J41+Gastos!J42+Gastos!J43+Gastos!J44+Gastos!J45+Gastos!J46</f>
        <v>6683334</v>
      </c>
      <c r="J45" s="415">
        <f>Gastos!K13+Gastos!K14+Gastos!K15+Gastos!K16+Gastos!K17+Gastos!K18+Gastos!K19+Gastos!K20+Gastos!K23+Gastos!K24+Gastos!K25+Gastos!K26+Gastos!K27+Gastos!K28+Gastos!K29+Gastos!K30+Gastos!K32+Gastos!K36+Gastos!K39+Gastos!K40+Gastos!K41+Gastos!K42+Gastos!K43+Gastos!K44+Gastos!K45+Gastos!K46</f>
        <v>6433334</v>
      </c>
      <c r="K45" s="415">
        <f>Gastos!L13+Gastos!L14+Gastos!L15+Gastos!L16+Gastos!L17+Gastos!L18+Gastos!L19+Gastos!L20+Gastos!L23+Gastos!L24+Gastos!L25+Gastos!L26+Gastos!L27+Gastos!L28+Gastos!L29+Gastos!L30+Gastos!L32+Gastos!L36+Gastos!L39+Gastos!L40+Gastos!L41+Gastos!L42+Gastos!L43+Gastos!L44+Gastos!L45+Gastos!L46</f>
        <v>6433334</v>
      </c>
      <c r="L45" s="415">
        <f>Gastos!M13+Gastos!M14+Gastos!M15+Gastos!M16+Gastos!M17+Gastos!M18+Gastos!M19+Gastos!M20+Gastos!M23+Gastos!M24+Gastos!M25+Gastos!M26+Gastos!M27+Gastos!M28+Gastos!M29+Gastos!M30+Gastos!M32+Gastos!M36+Gastos!M39+Gastos!M40+Gastos!M41+Gastos!M42+Gastos!M43+Gastos!M44+Gastos!M45+Gastos!M46</f>
        <v>6683334</v>
      </c>
      <c r="M45" s="415">
        <f>Gastos!N13+Gastos!N14+Gastos!N15+Gastos!N16+Gastos!N17+Gastos!N18+Gastos!N19+Gastos!N20+Gastos!N23+Gastos!N24+Gastos!N25+Gastos!N26+Gastos!N27+Gastos!N28+Gastos!N29+Gastos!N30+Gastos!N32+Gastos!N36+Gastos!N39+Gastos!N40+Gastos!N41+Gastos!N42+Gastos!N43+Gastos!N44+Gastos!N45+Gastos!N46</f>
        <v>6433334</v>
      </c>
      <c r="N45" s="415">
        <f>Gastos!O13+Gastos!O14+Gastos!O15+Gastos!O16+Gastos!O17+Gastos!O18+Gastos!O19+Gastos!O20+Gastos!O23+Gastos!O24+Gastos!O25+Gastos!O26+Gastos!O27+Gastos!O28+Gastos!O29+Gastos!O30+Gastos!O32+Gastos!O36+Gastos!O39+Gastos!O40+Gastos!O41+Gastos!O42+Gastos!O43+Gastos!O44+Gastos!O45+Gastos!O46</f>
        <v>6433334</v>
      </c>
      <c r="O45" s="416">
        <f>SUM(C45:N45)</f>
        <v>78200008</v>
      </c>
    </row>
    <row r="46" spans="2:15" x14ac:dyDescent="0.2">
      <c r="B46" s="123" t="s">
        <v>381</v>
      </c>
      <c r="C46" s="429">
        <f t="shared" ref="C46:O46" si="4">SUM(C44:C45)</f>
        <v>10625734</v>
      </c>
      <c r="D46" s="157">
        <f t="shared" si="4"/>
        <v>10375734</v>
      </c>
      <c r="E46" s="157">
        <f t="shared" si="4"/>
        <v>10375734</v>
      </c>
      <c r="F46" s="157">
        <f t="shared" si="4"/>
        <v>10625734</v>
      </c>
      <c r="G46" s="157">
        <f t="shared" si="4"/>
        <v>10375734</v>
      </c>
      <c r="H46" s="157">
        <f t="shared" si="4"/>
        <v>10375734</v>
      </c>
      <c r="I46" s="157">
        <f t="shared" si="4"/>
        <v>10625734</v>
      </c>
      <c r="J46" s="429">
        <f t="shared" si="4"/>
        <v>6433334</v>
      </c>
      <c r="K46" s="157">
        <f t="shared" si="4"/>
        <v>6433334</v>
      </c>
      <c r="L46" s="157">
        <f t="shared" si="4"/>
        <v>6683334</v>
      </c>
      <c r="M46" s="157">
        <f t="shared" si="4"/>
        <v>6433334</v>
      </c>
      <c r="N46" s="157">
        <f t="shared" si="4"/>
        <v>10375734</v>
      </c>
      <c r="O46" s="453">
        <f t="shared" si="4"/>
        <v>109739208</v>
      </c>
    </row>
    <row r="47" spans="2:15" x14ac:dyDescent="0.2">
      <c r="B47" s="112" t="s">
        <v>382</v>
      </c>
      <c r="C47" s="415">
        <f>Nomina!F78</f>
        <v>3449600</v>
      </c>
      <c r="D47" s="415">
        <f>Nomina!I78</f>
        <v>3449600</v>
      </c>
      <c r="E47" s="415">
        <f>Nomina!L78</f>
        <v>3449600</v>
      </c>
      <c r="F47" s="415">
        <f>Nomina!O78</f>
        <v>3449600</v>
      </c>
      <c r="G47" s="415">
        <v>0</v>
      </c>
      <c r="H47" s="415">
        <v>0</v>
      </c>
      <c r="I47" s="415">
        <v>0</v>
      </c>
      <c r="J47" s="415">
        <f>Nomina!AA78</f>
        <v>3449600</v>
      </c>
      <c r="K47" s="415">
        <f>Nomina!AD78</f>
        <v>3449600</v>
      </c>
      <c r="L47" s="415">
        <f>Nomina!AG78</f>
        <v>3449600</v>
      </c>
      <c r="M47" s="415">
        <f>Nomina!AJ78</f>
        <v>3449600</v>
      </c>
      <c r="N47" s="415">
        <f>Nomina!AM78</f>
        <v>3449600</v>
      </c>
      <c r="O47" s="416">
        <f>SUM(C47:N47)</f>
        <v>31046400</v>
      </c>
    </row>
    <row r="48" spans="2:15" x14ac:dyDescent="0.2">
      <c r="B48" s="112" t="s">
        <v>7</v>
      </c>
      <c r="C48" s="415">
        <f>Supuestos!$D$30*Ingresos!C382</f>
        <v>6257173.081199999</v>
      </c>
      <c r="D48" s="415">
        <f>Supuestos!$D$30*Ingresos!D382</f>
        <v>6257173.081199999</v>
      </c>
      <c r="E48" s="415">
        <f>Supuestos!$D$30*Ingresos!E382</f>
        <v>6257173.081199999</v>
      </c>
      <c r="F48" s="415">
        <f>Supuestos!$D$30*Ingresos!F382</f>
        <v>6257173.081199999</v>
      </c>
      <c r="G48" s="415">
        <f>Supuestos!$D$30*Ingresos!G382</f>
        <v>6257173.081199999</v>
      </c>
      <c r="H48" s="415">
        <f>Supuestos!$D$30*Ingresos!H382</f>
        <v>6257173.081199999</v>
      </c>
      <c r="I48" s="415">
        <f>Supuestos!$D$30*Ingresos!I382</f>
        <v>6257173.081199999</v>
      </c>
      <c r="J48" s="415">
        <f>Supuestos!$D$30*Ingresos!J382</f>
        <v>6257173.081199999</v>
      </c>
      <c r="K48" s="415">
        <f>Supuestos!$D$30*Ingresos!K382</f>
        <v>6257173.081199999</v>
      </c>
      <c r="L48" s="415">
        <f>Supuestos!$D$30*Ingresos!L382</f>
        <v>6257173.081199999</v>
      </c>
      <c r="M48" s="415">
        <f>Supuestos!$D$30*Ingresos!M382</f>
        <v>6257173.081199999</v>
      </c>
      <c r="N48" s="415">
        <f>Supuestos!$D$30*Ingresos!N382</f>
        <v>6257173.081199999</v>
      </c>
      <c r="O48" s="416">
        <f>SUM(C48:N48)</f>
        <v>75086076.974399984</v>
      </c>
    </row>
    <row r="49" spans="2:15" x14ac:dyDescent="0.2">
      <c r="B49" s="112" t="s">
        <v>119</v>
      </c>
      <c r="C49" s="415">
        <f>Gastos!D21+Gastos!D22+Gastos!D31+Gastos!D33+Gastos!D34+Gastos!D35+Gastos!D37+Gastos!D38</f>
        <v>1666667</v>
      </c>
      <c r="D49" s="415">
        <f>Gastos!E21+Gastos!E22+Gastos!E31+Gastos!E33+Gastos!E34+Gastos!E35+Gastos!E37+Gastos!E38</f>
        <v>1666667</v>
      </c>
      <c r="E49" s="415">
        <f>Gastos!F21+Gastos!F22+Gastos!F31+Gastos!F33+Gastos!F34+Gastos!F35+Gastos!F37+Gastos!F38</f>
        <v>1666667</v>
      </c>
      <c r="F49" s="415">
        <f>Gastos!G21+Gastos!G22+Gastos!G31+Gastos!G33+Gastos!G34+Gastos!G35+Gastos!G37+Gastos!G38</f>
        <v>1666667</v>
      </c>
      <c r="G49" s="415">
        <f>Gastos!H21+Gastos!H22+Gastos!H31+Gastos!H33+Gastos!H34+Gastos!H35+Gastos!H37+Gastos!H38</f>
        <v>1666667</v>
      </c>
      <c r="H49" s="415">
        <f>Gastos!I21+Gastos!I22+Gastos!I31+Gastos!I33+Gastos!I34+Gastos!I35+Gastos!I37+Gastos!I38</f>
        <v>1666667</v>
      </c>
      <c r="I49" s="415">
        <f>Gastos!J21+Gastos!J22+Gastos!J31+Gastos!J33+Gastos!J34+Gastos!J35+Gastos!J37+Gastos!J38</f>
        <v>1666667</v>
      </c>
      <c r="J49" s="415">
        <f>Gastos!K21+Gastos!K22+Gastos!K31+Gastos!K33+Gastos!K34+Gastos!K35+Gastos!K37+Gastos!K38</f>
        <v>1666667</v>
      </c>
      <c r="K49" s="415">
        <f>Gastos!L21+Gastos!L22+Gastos!L31+Gastos!L33+Gastos!L34+Gastos!L35+Gastos!L37+Gastos!L38</f>
        <v>1666667</v>
      </c>
      <c r="L49" s="415">
        <f>Gastos!M21+Gastos!M22+Gastos!M31+Gastos!M33+Gastos!M34+Gastos!M35+Gastos!M37+Gastos!M38</f>
        <v>1666667</v>
      </c>
      <c r="M49" s="415">
        <f>Gastos!N21+Gastos!N22+Gastos!N31+Gastos!N33+Gastos!N34+Gastos!N35+Gastos!N37+Gastos!N38</f>
        <v>1666667</v>
      </c>
      <c r="N49" s="415">
        <f>Gastos!O21+Gastos!O22+Gastos!O31+Gastos!O33+Gastos!O34+Gastos!O35+Gastos!O37+Gastos!O38</f>
        <v>1666667</v>
      </c>
      <c r="O49" s="416">
        <f>SUM(C49:N49)</f>
        <v>20000004</v>
      </c>
    </row>
    <row r="50" spans="2:15" x14ac:dyDescent="0.2">
      <c r="B50" s="123" t="s">
        <v>383</v>
      </c>
      <c r="C50" s="429">
        <f>SUM(C47:C49)</f>
        <v>11373440.0812</v>
      </c>
      <c r="D50" s="157">
        <f t="shared" ref="D50:N50" si="5">SUM(D47:D49)</f>
        <v>11373440.0812</v>
      </c>
      <c r="E50" s="157">
        <f t="shared" si="5"/>
        <v>11373440.0812</v>
      </c>
      <c r="F50" s="157">
        <f t="shared" si="5"/>
        <v>11373440.0812</v>
      </c>
      <c r="G50" s="157">
        <f t="shared" si="5"/>
        <v>7923840.081199999</v>
      </c>
      <c r="H50" s="157">
        <f t="shared" si="5"/>
        <v>7923840.081199999</v>
      </c>
      <c r="I50" s="157">
        <f t="shared" si="5"/>
        <v>7923840.081199999</v>
      </c>
      <c r="J50" s="429">
        <f t="shared" si="5"/>
        <v>11373440.0812</v>
      </c>
      <c r="K50" s="157">
        <f t="shared" si="5"/>
        <v>11373440.0812</v>
      </c>
      <c r="L50" s="157">
        <f t="shared" si="5"/>
        <v>11373440.0812</v>
      </c>
      <c r="M50" s="157">
        <f t="shared" si="5"/>
        <v>11373440.0812</v>
      </c>
      <c r="N50" s="157">
        <f t="shared" si="5"/>
        <v>11373440.0812</v>
      </c>
      <c r="O50" s="453">
        <f>SUM(O47:O49)</f>
        <v>126132480.97439998</v>
      </c>
    </row>
    <row r="51" spans="2:15" x14ac:dyDescent="0.2">
      <c r="B51" s="23"/>
      <c r="C51" s="23"/>
      <c r="D51" s="23"/>
      <c r="E51" s="23"/>
      <c r="F51" s="23"/>
      <c r="G51" s="23"/>
      <c r="H51" s="23"/>
      <c r="I51" s="23"/>
    </row>
    <row r="52" spans="2:15" x14ac:dyDescent="0.2">
      <c r="B52" s="23"/>
      <c r="C52" s="23"/>
      <c r="D52" s="23"/>
      <c r="E52" s="23"/>
      <c r="F52" s="23"/>
      <c r="G52" s="23"/>
      <c r="H52" s="23"/>
      <c r="I52" s="23"/>
    </row>
    <row r="53" spans="2:15" x14ac:dyDescent="0.2">
      <c r="B53" s="23"/>
      <c r="C53" s="23"/>
      <c r="D53" s="23"/>
      <c r="E53" s="23"/>
      <c r="F53" s="23"/>
      <c r="G53" s="23"/>
      <c r="H53" s="23"/>
      <c r="I53" s="23"/>
    </row>
    <row r="54" spans="2:15" x14ac:dyDescent="0.2">
      <c r="B54" s="23"/>
      <c r="C54" s="23"/>
      <c r="D54" s="23"/>
      <c r="E54" s="23"/>
      <c r="F54" s="23"/>
      <c r="G54" s="23"/>
      <c r="H54" s="23"/>
      <c r="I54" s="23"/>
    </row>
    <row r="55" spans="2:15" x14ac:dyDescent="0.2">
      <c r="B55" s="23"/>
      <c r="C55" s="23"/>
      <c r="D55" s="23"/>
      <c r="E55" s="23"/>
      <c r="F55" s="23"/>
      <c r="G55" s="23"/>
      <c r="H55" s="23"/>
      <c r="I55" s="23"/>
    </row>
    <row r="56" spans="2:15" x14ac:dyDescent="0.2">
      <c r="B56" s="23"/>
      <c r="C56" s="23"/>
      <c r="D56" s="23"/>
      <c r="E56" s="23"/>
      <c r="F56" s="23"/>
      <c r="G56" s="23"/>
      <c r="H56" s="23"/>
      <c r="I56" s="23"/>
    </row>
    <row r="57" spans="2:15" x14ac:dyDescent="0.2">
      <c r="B57" s="23"/>
      <c r="C57" s="23"/>
      <c r="D57" s="23"/>
      <c r="E57" s="23"/>
      <c r="F57" s="23"/>
      <c r="G57" s="23"/>
      <c r="H57" s="23"/>
      <c r="I57" s="23"/>
    </row>
    <row r="58" spans="2:15" x14ac:dyDescent="0.2">
      <c r="B58" s="23"/>
      <c r="C58" s="23"/>
      <c r="D58" s="23"/>
      <c r="E58" s="23"/>
      <c r="F58" s="23"/>
      <c r="G58" s="23"/>
      <c r="H58" s="23"/>
      <c r="I58" s="23"/>
    </row>
  </sheetData>
  <mergeCells count="5">
    <mergeCell ref="B8:D8"/>
    <mergeCell ref="O42:O43"/>
    <mergeCell ref="B9:D9"/>
    <mergeCell ref="B20:J20"/>
    <mergeCell ref="B21:J21"/>
  </mergeCells>
  <phoneticPr fontId="0" type="noConversion"/>
  <printOptions horizontalCentered="1" verticalCentered="1"/>
  <pageMargins left="0.39370078740157483" right="0.39370078740157483" top="0.39370078740157483" bottom="0.39370078740157483" header="0" footer="0"/>
  <pageSetup paperSize="9" scale="98" orientation="landscape" horizontalDpi="300" verticalDpi="300" r:id="rId1"/>
  <headerFooter alignWithMargins="0"/>
  <drawing r:id="rId2"/>
  <legacyDrawing r:id="rId3"/>
  <controls>
    <mc:AlternateContent xmlns:mc="http://schemas.openxmlformats.org/markup-compatibility/2006">
      <mc:Choice Requires="x14">
        <control shapeId="17459" r:id="rId4" name="CommandButton1">
          <controlPr defaultSize="0" autoLine="0" r:id="rId5">
            <anchor moveWithCells="1">
              <from>
                <xdr:col>1</xdr:col>
                <xdr:colOff>0</xdr:colOff>
                <xdr:row>0</xdr:row>
                <xdr:rowOff>123825</xdr:rowOff>
              </from>
              <to>
                <xdr:col>1</xdr:col>
                <xdr:colOff>1685925</xdr:colOff>
                <xdr:row>4</xdr:row>
                <xdr:rowOff>66675</xdr:rowOff>
              </to>
            </anchor>
          </controlPr>
        </control>
      </mc:Choice>
      <mc:Fallback>
        <control shapeId="17459" r:id="rId4" name="CommandButton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B1:Z158"/>
  <sheetViews>
    <sheetView showGridLines="0" tabSelected="1" zoomScale="80" zoomScaleNormal="80" workbookViewId="0">
      <selection activeCell="B37" sqref="B37:K113"/>
    </sheetView>
  </sheetViews>
  <sheetFormatPr baseColWidth="10" defaultRowHeight="12.75" x14ac:dyDescent="0.2"/>
  <cols>
    <col min="1" max="1" width="3.7109375" style="28" customWidth="1"/>
    <col min="2" max="2" width="15.42578125" style="28" customWidth="1"/>
    <col min="3" max="3" width="21.5703125" style="454" bestFit="1" customWidth="1"/>
    <col min="4" max="4" width="24.28515625" style="455" bestFit="1" customWidth="1"/>
    <col min="5" max="5" width="19.140625" style="455" bestFit="1" customWidth="1"/>
    <col min="6" max="6" width="20.28515625" style="455" bestFit="1" customWidth="1"/>
    <col min="7" max="7" width="17.42578125" style="28" customWidth="1"/>
    <col min="8" max="8" width="19.28515625" style="28" customWidth="1"/>
    <col min="9" max="9" width="16.42578125" style="28" bestFit="1" customWidth="1"/>
    <col min="10" max="11" width="15.7109375" style="28" customWidth="1"/>
    <col min="12" max="12" width="16" style="28" customWidth="1"/>
    <col min="13" max="14" width="15.7109375" style="28" customWidth="1"/>
    <col min="15" max="15" width="14.85546875" style="28" customWidth="1"/>
    <col min="16" max="16384" width="11.42578125" style="28"/>
  </cols>
  <sheetData>
    <row r="1" spans="2:26" x14ac:dyDescent="0.2">
      <c r="D1" s="23"/>
      <c r="F1" s="23"/>
      <c r="G1" s="23"/>
      <c r="H1" s="23"/>
    </row>
    <row r="3" spans="2:26" x14ac:dyDescent="0.2">
      <c r="G3" s="456"/>
    </row>
    <row r="4" spans="2:26" x14ac:dyDescent="0.2">
      <c r="G4" s="88"/>
    </row>
    <row r="5" spans="2:26" x14ac:dyDescent="0.2">
      <c r="G5" s="456"/>
    </row>
    <row r="6" spans="2:26" ht="12" customHeight="1" x14ac:dyDescent="0.2"/>
    <row r="8" spans="2:26" ht="15" x14ac:dyDescent="0.25">
      <c r="B8" s="799" t="str">
        <f>Supuestos!B8</f>
        <v>Centro de acopio la Bonanza Campesina</v>
      </c>
      <c r="C8" s="800"/>
      <c r="D8" s="800"/>
      <c r="E8" s="800"/>
      <c r="F8" s="800"/>
      <c r="G8" s="800"/>
      <c r="H8" s="800"/>
      <c r="I8" s="800"/>
      <c r="J8" s="800"/>
      <c r="K8" s="800"/>
      <c r="L8" s="800"/>
      <c r="M8" s="800"/>
      <c r="N8" s="801"/>
    </row>
    <row r="9" spans="2:26" ht="15" x14ac:dyDescent="0.25">
      <c r="B9" s="802" t="s">
        <v>207</v>
      </c>
      <c r="C9" s="803"/>
      <c r="D9" s="803"/>
      <c r="E9" s="803"/>
      <c r="F9" s="803"/>
      <c r="G9" s="803"/>
      <c r="H9" s="803"/>
      <c r="I9" s="803"/>
      <c r="J9" s="803"/>
      <c r="K9" s="803"/>
      <c r="L9" s="803"/>
      <c r="M9" s="803"/>
      <c r="N9" s="804"/>
    </row>
    <row r="10" spans="2:26" ht="15" x14ac:dyDescent="0.25">
      <c r="B10" s="457"/>
      <c r="C10" s="458"/>
      <c r="D10" s="459"/>
      <c r="E10" s="459"/>
      <c r="F10" s="459"/>
      <c r="G10" s="457"/>
      <c r="H10" s="457"/>
      <c r="I10" s="457"/>
      <c r="J10" s="457"/>
      <c r="K10" s="457"/>
      <c r="L10" s="457"/>
      <c r="M10" s="457"/>
      <c r="N10" s="457"/>
    </row>
    <row r="11" spans="2:26" ht="15" x14ac:dyDescent="0.25">
      <c r="B11" s="805" t="s">
        <v>250</v>
      </c>
      <c r="C11" s="805"/>
      <c r="D11" s="805"/>
      <c r="E11" s="805"/>
      <c r="F11" s="460">
        <f>+Inversion!E180</f>
        <v>309029661.67544001</v>
      </c>
      <c r="G11" s="457">
        <f>F11*0.3</f>
        <v>92708898.502632007</v>
      </c>
      <c r="L11" s="807" t="s">
        <v>399</v>
      </c>
      <c r="M11" s="808"/>
      <c r="N11" s="808"/>
      <c r="O11" s="809"/>
      <c r="Q11" s="714"/>
      <c r="R11" s="715" t="s">
        <v>417</v>
      </c>
      <c r="Z11" s="715" t="s">
        <v>415</v>
      </c>
    </row>
    <row r="12" spans="2:26" ht="15" x14ac:dyDescent="0.25">
      <c r="B12" s="805" t="s">
        <v>86</v>
      </c>
      <c r="C12" s="805"/>
      <c r="D12" s="805"/>
      <c r="E12" s="805"/>
      <c r="F12" s="460">
        <f>Supuestos!C54</f>
        <v>20000000</v>
      </c>
      <c r="G12" s="461">
        <f>G11-F12</f>
        <v>72708898.502632007</v>
      </c>
      <c r="H12" s="806" t="s">
        <v>396</v>
      </c>
      <c r="I12" s="807"/>
      <c r="J12" s="696" t="s">
        <v>398</v>
      </c>
      <c r="K12" s="694" t="s">
        <v>410</v>
      </c>
      <c r="L12" s="701" t="s">
        <v>400</v>
      </c>
      <c r="M12" s="703" t="s">
        <v>411</v>
      </c>
      <c r="N12" s="703" t="s">
        <v>412</v>
      </c>
      <c r="O12" s="703" t="s">
        <v>401</v>
      </c>
      <c r="Z12" s="715" t="s">
        <v>416</v>
      </c>
    </row>
    <row r="13" spans="2:26" ht="26.25" x14ac:dyDescent="0.25">
      <c r="B13" s="805" t="s">
        <v>201</v>
      </c>
      <c r="C13" s="805"/>
      <c r="D13" s="805"/>
      <c r="E13" s="805"/>
      <c r="F13" s="717"/>
      <c r="G13" s="457"/>
      <c r="H13" s="690" t="s">
        <v>402</v>
      </c>
      <c r="I13" s="693" t="s">
        <v>403</v>
      </c>
      <c r="J13" s="697"/>
      <c r="K13" s="695"/>
      <c r="L13" s="702"/>
      <c r="M13" s="704" t="s">
        <v>413</v>
      </c>
      <c r="N13" s="704" t="s">
        <v>414</v>
      </c>
      <c r="O13" s="716"/>
    </row>
    <row r="14" spans="2:26" ht="15" x14ac:dyDescent="0.25">
      <c r="B14" s="810" t="s">
        <v>112</v>
      </c>
      <c r="C14" s="810"/>
      <c r="D14" s="810"/>
      <c r="E14" s="810"/>
      <c r="F14" s="463">
        <f>+F11-F12-F13</f>
        <v>289029661.67544001</v>
      </c>
      <c r="G14" s="464">
        <f>IF(F11=0,0,F14/F11)</f>
        <v>0.93528129341511201</v>
      </c>
      <c r="H14" s="698">
        <v>2000000</v>
      </c>
      <c r="I14" s="698">
        <v>30000000</v>
      </c>
      <c r="J14" s="699" t="s">
        <v>397</v>
      </c>
      <c r="K14" s="719"/>
      <c r="L14" s="691" t="s">
        <v>415</v>
      </c>
      <c r="M14" s="692" t="s">
        <v>416</v>
      </c>
      <c r="N14" s="692" t="s">
        <v>416</v>
      </c>
      <c r="O14" s="692" t="s">
        <v>416</v>
      </c>
    </row>
    <row r="15" spans="2:26" ht="15" x14ac:dyDescent="0.25">
      <c r="B15" s="805" t="s">
        <v>363</v>
      </c>
      <c r="C15" s="805"/>
      <c r="D15" s="805"/>
      <c r="E15" s="805"/>
      <c r="F15" s="194">
        <v>72</v>
      </c>
      <c r="G15" s="457"/>
      <c r="H15" s="698">
        <v>2000000</v>
      </c>
      <c r="I15" s="698">
        <v>29000000</v>
      </c>
      <c r="J15" s="699" t="s">
        <v>404</v>
      </c>
      <c r="K15" s="720"/>
      <c r="L15" s="691" t="s">
        <v>415</v>
      </c>
      <c r="M15" s="692" t="s">
        <v>416</v>
      </c>
      <c r="N15" s="692" t="s">
        <v>416</v>
      </c>
      <c r="O15" s="692" t="s">
        <v>416</v>
      </c>
    </row>
    <row r="16" spans="2:26" ht="15" x14ac:dyDescent="0.25">
      <c r="B16" s="805" t="s">
        <v>364</v>
      </c>
      <c r="C16" s="805"/>
      <c r="D16" s="805"/>
      <c r="E16" s="805"/>
      <c r="F16" s="194">
        <v>0</v>
      </c>
      <c r="G16" s="457"/>
      <c r="H16" s="698">
        <v>30000000</v>
      </c>
      <c r="I16" s="698">
        <v>30000000</v>
      </c>
      <c r="J16" s="699" t="s">
        <v>404</v>
      </c>
      <c r="K16" s="720"/>
      <c r="L16" s="692" t="s">
        <v>416</v>
      </c>
      <c r="M16" s="700"/>
      <c r="N16" s="700"/>
      <c r="O16" s="700"/>
    </row>
    <row r="17" spans="2:15" x14ac:dyDescent="0.2">
      <c r="B17" s="811"/>
      <c r="C17" s="811"/>
      <c r="D17" s="811"/>
      <c r="E17" s="811"/>
      <c r="F17" s="718"/>
      <c r="H17" s="698">
        <v>2000000</v>
      </c>
      <c r="I17" s="698">
        <v>22000000</v>
      </c>
      <c r="J17" s="699" t="s">
        <v>405</v>
      </c>
      <c r="K17" s="720"/>
      <c r="L17" s="691" t="s">
        <v>415</v>
      </c>
      <c r="M17" s="692" t="s">
        <v>416</v>
      </c>
      <c r="N17" s="692" t="s">
        <v>416</v>
      </c>
      <c r="O17" s="692" t="s">
        <v>416</v>
      </c>
    </row>
    <row r="18" spans="2:15" x14ac:dyDescent="0.2">
      <c r="B18" s="705" t="s">
        <v>419</v>
      </c>
      <c r="D18" s="729">
        <f>0.35/1000</f>
        <v>3.5E-4</v>
      </c>
      <c r="E18" s="466"/>
      <c r="F18" s="465"/>
      <c r="H18" s="698">
        <v>23000000</v>
      </c>
      <c r="I18" s="698">
        <v>30000000</v>
      </c>
      <c r="J18" s="699" t="s">
        <v>405</v>
      </c>
      <c r="K18" s="720"/>
      <c r="L18" s="692" t="s">
        <v>416</v>
      </c>
      <c r="M18" s="700"/>
      <c r="N18" s="700"/>
      <c r="O18" s="700"/>
    </row>
    <row r="19" spans="2:15" x14ac:dyDescent="0.2">
      <c r="B19" s="466"/>
      <c r="C19" s="466"/>
      <c r="D19" s="466"/>
      <c r="E19" s="466"/>
      <c r="F19" s="465"/>
      <c r="H19" s="698">
        <v>2000000</v>
      </c>
      <c r="I19" s="698">
        <v>17000000</v>
      </c>
      <c r="J19" s="699" t="s">
        <v>406</v>
      </c>
      <c r="K19" s="720"/>
      <c r="L19" s="692" t="s">
        <v>415</v>
      </c>
      <c r="M19" s="692" t="s">
        <v>416</v>
      </c>
      <c r="N19" s="692" t="s">
        <v>416</v>
      </c>
      <c r="O19" s="692" t="s">
        <v>416</v>
      </c>
    </row>
    <row r="20" spans="2:15" x14ac:dyDescent="0.2">
      <c r="B20" s="466"/>
      <c r="C20" s="466"/>
      <c r="D20" s="466"/>
      <c r="E20" s="466"/>
      <c r="F20" s="465"/>
      <c r="H20" s="698">
        <v>2000000</v>
      </c>
      <c r="I20" s="698">
        <v>14000000</v>
      </c>
      <c r="J20" s="699" t="s">
        <v>407</v>
      </c>
      <c r="K20" s="720"/>
      <c r="L20" s="692" t="s">
        <v>415</v>
      </c>
      <c r="M20" s="692" t="s">
        <v>416</v>
      </c>
      <c r="N20" s="692" t="s">
        <v>416</v>
      </c>
      <c r="O20" s="692" t="s">
        <v>416</v>
      </c>
    </row>
    <row r="21" spans="2:15" x14ac:dyDescent="0.2">
      <c r="B21" s="466"/>
      <c r="C21" s="466"/>
      <c r="D21" s="466"/>
      <c r="E21" s="466"/>
      <c r="F21" s="465"/>
      <c r="H21" s="698">
        <v>15000000</v>
      </c>
      <c r="I21" s="698">
        <v>30000000</v>
      </c>
      <c r="J21" s="699" t="s">
        <v>407</v>
      </c>
      <c r="K21" s="720"/>
      <c r="L21" s="692" t="s">
        <v>416</v>
      </c>
      <c r="M21" s="700"/>
      <c r="N21" s="700"/>
      <c r="O21" s="700"/>
    </row>
    <row r="22" spans="2:15" x14ac:dyDescent="0.2">
      <c r="B22" s="466"/>
      <c r="C22" s="466"/>
      <c r="D22" s="466"/>
      <c r="E22" s="466"/>
      <c r="F22" s="465"/>
      <c r="H22" s="698">
        <v>2000000</v>
      </c>
      <c r="I22" s="698">
        <v>30000000</v>
      </c>
      <c r="J22" s="699" t="s">
        <v>408</v>
      </c>
      <c r="K22" s="720"/>
      <c r="L22" s="692" t="s">
        <v>416</v>
      </c>
      <c r="M22" s="700"/>
      <c r="N22" s="700"/>
      <c r="O22" s="700"/>
    </row>
    <row r="23" spans="2:15" x14ac:dyDescent="0.2">
      <c r="B23" s="466"/>
      <c r="C23" s="466"/>
      <c r="D23" s="466"/>
      <c r="E23" s="466"/>
      <c r="F23" s="465"/>
      <c r="H23" s="698">
        <v>2000000</v>
      </c>
      <c r="I23" s="698">
        <v>30000000</v>
      </c>
      <c r="J23" s="699" t="s">
        <v>409</v>
      </c>
      <c r="K23" s="720" t="s">
        <v>426</v>
      </c>
      <c r="L23" s="692" t="s">
        <v>416</v>
      </c>
      <c r="M23" s="692" t="s">
        <v>416</v>
      </c>
      <c r="N23" s="692" t="s">
        <v>416</v>
      </c>
      <c r="O23" s="691" t="s">
        <v>415</v>
      </c>
    </row>
    <row r="24" spans="2:15" x14ac:dyDescent="0.2">
      <c r="B24" s="466"/>
      <c r="C24" s="466"/>
      <c r="D24" s="466"/>
      <c r="E24" s="466"/>
      <c r="F24" s="465"/>
    </row>
    <row r="25" spans="2:15" x14ac:dyDescent="0.2">
      <c r="B25" s="466"/>
      <c r="C25" s="466"/>
      <c r="D25" s="466"/>
      <c r="E25" s="466"/>
      <c r="F25" s="465"/>
      <c r="H25" s="470" t="s">
        <v>418</v>
      </c>
      <c r="I25" s="713" t="str">
        <f>IF(OR(K14="X",K15="X",K17="X",K19="X",K20="x",N16="APLICA",N18="APLICA",N21="APLICA",N22="APLICA"),"SI","NO")</f>
        <v>NO</v>
      </c>
      <c r="J25" s="472"/>
    </row>
    <row r="26" spans="2:15" x14ac:dyDescent="0.2">
      <c r="B26" s="468" t="s">
        <v>343</v>
      </c>
      <c r="C26" s="469">
        <f>+F14</f>
        <v>289029661.67544001</v>
      </c>
      <c r="D26" s="470"/>
      <c r="E26" s="471"/>
      <c r="F26" s="470"/>
      <c r="G26" s="470"/>
      <c r="H26" s="470" t="s">
        <v>422</v>
      </c>
      <c r="I26" s="706">
        <v>2000</v>
      </c>
      <c r="J26" s="472"/>
    </row>
    <row r="27" spans="2:15" x14ac:dyDescent="0.2">
      <c r="B27" s="470"/>
      <c r="C27" s="470"/>
      <c r="D27" s="470"/>
      <c r="E27" s="471"/>
      <c r="F27" s="470"/>
      <c r="G27" s="470"/>
      <c r="H27" s="470"/>
      <c r="I27" s="470"/>
      <c r="J27" s="472"/>
    </row>
    <row r="28" spans="2:15" x14ac:dyDescent="0.2">
      <c r="B28" s="812" t="s">
        <v>365</v>
      </c>
      <c r="C28" s="813"/>
      <c r="D28" s="813"/>
      <c r="E28" s="813"/>
      <c r="F28" s="813"/>
      <c r="G28" s="813"/>
      <c r="H28" s="813"/>
      <c r="I28" s="814"/>
      <c r="J28" s="472"/>
    </row>
    <row r="29" spans="2:15" x14ac:dyDescent="0.2">
      <c r="B29" s="474" t="s">
        <v>359</v>
      </c>
      <c r="C29" s="474" t="s">
        <v>345</v>
      </c>
      <c r="D29" s="474" t="s">
        <v>346</v>
      </c>
      <c r="E29" s="475" t="s">
        <v>347</v>
      </c>
      <c r="F29" s="474" t="s">
        <v>348</v>
      </c>
      <c r="G29" s="474" t="s">
        <v>349</v>
      </c>
      <c r="H29" s="474" t="s">
        <v>350</v>
      </c>
      <c r="I29" s="474" t="s">
        <v>351</v>
      </c>
      <c r="J29" s="472"/>
    </row>
    <row r="30" spans="2:15" x14ac:dyDescent="0.2">
      <c r="B30" s="468" t="s">
        <v>352</v>
      </c>
      <c r="C30" s="476" t="s">
        <v>353</v>
      </c>
      <c r="D30" s="515">
        <v>0.15</v>
      </c>
      <c r="E30" s="516">
        <v>1.7999999999999999E-2</v>
      </c>
      <c r="F30" s="477">
        <f t="shared" ref="F30:F35" si="0">+((1+E30)^(1/(-4))-1)*(-4)</f>
        <v>1.7800194371134559E-2</v>
      </c>
      <c r="G30" s="478">
        <f t="shared" ref="G30:G35" si="1">+((1+D30)^(1/(-4))-1)*(-4)</f>
        <v>0.13734845839739007</v>
      </c>
      <c r="H30" s="462">
        <f t="shared" ref="H30:H35" si="2">E30+D30</f>
        <v>0.16799999999999998</v>
      </c>
      <c r="I30" s="462">
        <f t="shared" ref="I30:I35" si="3">+(((1+H30)^(1/12))-1)</f>
        <v>1.3025171776336331E-2</v>
      </c>
      <c r="J30" s="472"/>
    </row>
    <row r="31" spans="2:15" x14ac:dyDescent="0.2">
      <c r="B31" s="468" t="s">
        <v>354</v>
      </c>
      <c r="C31" s="476" t="s">
        <v>353</v>
      </c>
      <c r="D31" s="515">
        <f>+D30</f>
        <v>0.15</v>
      </c>
      <c r="E31" s="516">
        <v>1.7999999999999999E-2</v>
      </c>
      <c r="F31" s="477">
        <f t="shared" si="0"/>
        <v>1.7800194371134559E-2</v>
      </c>
      <c r="G31" s="478">
        <f t="shared" si="1"/>
        <v>0.13734845839739007</v>
      </c>
      <c r="H31" s="462">
        <f t="shared" si="2"/>
        <v>0.16799999999999998</v>
      </c>
      <c r="I31" s="462">
        <f t="shared" si="3"/>
        <v>1.3025171776336331E-2</v>
      </c>
      <c r="J31" s="472"/>
    </row>
    <row r="32" spans="2:15" x14ac:dyDescent="0.2">
      <c r="B32" s="468" t="s">
        <v>355</v>
      </c>
      <c r="C32" s="476" t="s">
        <v>353</v>
      </c>
      <c r="D32" s="515">
        <f t="shared" ref="D32:D35" si="4">+D31</f>
        <v>0.15</v>
      </c>
      <c r="E32" s="516">
        <v>1.7999999999999999E-2</v>
      </c>
      <c r="F32" s="477">
        <f t="shared" si="0"/>
        <v>1.7800194371134559E-2</v>
      </c>
      <c r="G32" s="478">
        <f t="shared" si="1"/>
        <v>0.13734845839739007</v>
      </c>
      <c r="H32" s="462">
        <f t="shared" si="2"/>
        <v>0.16799999999999998</v>
      </c>
      <c r="I32" s="462">
        <f t="shared" si="3"/>
        <v>1.3025171776336331E-2</v>
      </c>
      <c r="J32" s="472"/>
    </row>
    <row r="33" spans="2:11" x14ac:dyDescent="0.2">
      <c r="B33" s="468" t="s">
        <v>356</v>
      </c>
      <c r="C33" s="476" t="s">
        <v>353</v>
      </c>
      <c r="D33" s="515">
        <f t="shared" si="4"/>
        <v>0.15</v>
      </c>
      <c r="E33" s="516">
        <v>1.7999999999999999E-2</v>
      </c>
      <c r="F33" s="477">
        <f t="shared" si="0"/>
        <v>1.7800194371134559E-2</v>
      </c>
      <c r="G33" s="478">
        <f t="shared" si="1"/>
        <v>0.13734845839739007</v>
      </c>
      <c r="H33" s="462">
        <f t="shared" si="2"/>
        <v>0.16799999999999998</v>
      </c>
      <c r="I33" s="462">
        <f t="shared" si="3"/>
        <v>1.3025171776336331E-2</v>
      </c>
      <c r="J33" s="472"/>
    </row>
    <row r="34" spans="2:11" x14ac:dyDescent="0.2">
      <c r="B34" s="468" t="s">
        <v>357</v>
      </c>
      <c r="C34" s="476" t="s">
        <v>353</v>
      </c>
      <c r="D34" s="515">
        <f t="shared" si="4"/>
        <v>0.15</v>
      </c>
      <c r="E34" s="516">
        <v>1.7999999999999999E-2</v>
      </c>
      <c r="F34" s="477">
        <f t="shared" si="0"/>
        <v>1.7800194371134559E-2</v>
      </c>
      <c r="G34" s="478">
        <f t="shared" si="1"/>
        <v>0.13734845839739007</v>
      </c>
      <c r="H34" s="462">
        <f t="shared" si="2"/>
        <v>0.16799999999999998</v>
      </c>
      <c r="I34" s="462">
        <f t="shared" si="3"/>
        <v>1.3025171776336331E-2</v>
      </c>
      <c r="J34" s="472"/>
    </row>
    <row r="35" spans="2:11" x14ac:dyDescent="0.2">
      <c r="B35" s="468" t="s">
        <v>358</v>
      </c>
      <c r="C35" s="476" t="s">
        <v>353</v>
      </c>
      <c r="D35" s="515">
        <f t="shared" si="4"/>
        <v>0.15</v>
      </c>
      <c r="E35" s="516">
        <v>1.7999999999999999E-2</v>
      </c>
      <c r="F35" s="477">
        <f t="shared" si="0"/>
        <v>1.7800194371134559E-2</v>
      </c>
      <c r="G35" s="478">
        <f t="shared" si="1"/>
        <v>0.13734845839739007</v>
      </c>
      <c r="H35" s="462">
        <f t="shared" si="2"/>
        <v>0.16799999999999998</v>
      </c>
      <c r="I35" s="462">
        <f t="shared" si="3"/>
        <v>1.3025171776336331E-2</v>
      </c>
      <c r="J35" s="472"/>
    </row>
    <row r="36" spans="2:11" x14ac:dyDescent="0.2">
      <c r="B36" s="470"/>
      <c r="C36" s="470"/>
      <c r="D36" s="470"/>
      <c r="E36" s="471"/>
      <c r="F36" s="470"/>
      <c r="G36" s="470"/>
      <c r="H36" s="470"/>
      <c r="I36" s="479"/>
      <c r="J36" s="472"/>
    </row>
    <row r="37" spans="2:11" x14ac:dyDescent="0.2">
      <c r="B37" s="470" t="s">
        <v>40</v>
      </c>
      <c r="C37" s="480">
        <f>+F15</f>
        <v>72</v>
      </c>
      <c r="D37" s="470"/>
      <c r="E37" s="471"/>
      <c r="F37" s="470"/>
      <c r="G37" s="470"/>
      <c r="H37" s="470"/>
      <c r="I37" s="470"/>
      <c r="J37" s="472"/>
    </row>
    <row r="38" spans="2:11" x14ac:dyDescent="0.2">
      <c r="B38" s="470" t="s">
        <v>344</v>
      </c>
      <c r="C38" s="480">
        <f>+F16</f>
        <v>0</v>
      </c>
      <c r="D38" s="470"/>
      <c r="E38" s="471"/>
      <c r="F38" s="470"/>
      <c r="G38" s="470"/>
      <c r="H38" s="470"/>
      <c r="I38" s="470"/>
      <c r="J38" s="472"/>
    </row>
    <row r="39" spans="2:11" x14ac:dyDescent="0.2">
      <c r="B39" s="470"/>
      <c r="C39" s="480"/>
      <c r="D39" s="470"/>
      <c r="E39" s="471"/>
      <c r="F39" s="470"/>
      <c r="G39" s="470"/>
      <c r="H39" s="470"/>
      <c r="I39" s="470"/>
      <c r="J39" s="472"/>
    </row>
    <row r="40" spans="2:11" ht="25.5" x14ac:dyDescent="0.2">
      <c r="B40" s="473" t="s">
        <v>359</v>
      </c>
      <c r="C40" s="473" t="s">
        <v>256</v>
      </c>
      <c r="D40" s="473" t="s">
        <v>360</v>
      </c>
      <c r="E40" s="481" t="s">
        <v>361</v>
      </c>
      <c r="F40" s="473" t="s">
        <v>362</v>
      </c>
      <c r="G40" s="473" t="s">
        <v>270</v>
      </c>
      <c r="H40" s="711" t="s">
        <v>418</v>
      </c>
      <c r="I40" s="712" t="s">
        <v>421</v>
      </c>
      <c r="J40" s="711" t="s">
        <v>419</v>
      </c>
      <c r="K40" s="711" t="s">
        <v>420</v>
      </c>
    </row>
    <row r="41" spans="2:11" x14ac:dyDescent="0.2">
      <c r="B41" s="750">
        <v>0</v>
      </c>
      <c r="C41" s="473"/>
      <c r="D41" s="473"/>
      <c r="E41" s="481"/>
      <c r="F41" s="473"/>
      <c r="G41" s="482">
        <f>+C26</f>
        <v>289029661.67544001</v>
      </c>
      <c r="H41" s="707">
        <f>IF(I25="SI",C26*1000000*I26*F15,0)</f>
        <v>0</v>
      </c>
      <c r="I41" s="707">
        <f>H41*0.16</f>
        <v>0</v>
      </c>
      <c r="J41" s="707"/>
      <c r="K41" s="708">
        <f>-G41+H41+I41+J41</f>
        <v>-289029661.67544001</v>
      </c>
    </row>
    <row r="42" spans="2:11" x14ac:dyDescent="0.2">
      <c r="B42" s="751">
        <f t="shared" ref="B42:B74" si="5">+IF(B41&lt;&gt;"",IF($C$37&gt;B41,B41+1,""),"")</f>
        <v>1</v>
      </c>
      <c r="C42" s="482">
        <f t="shared" ref="C42:C73" si="6">IF($B42&lt;&gt;"",G41,"")</f>
        <v>289029661.67544001</v>
      </c>
      <c r="D42" s="482">
        <f>IF($B42&lt;&gt;"",C42*$I$30,0)</f>
        <v>3764660.9917789795</v>
      </c>
      <c r="E42" s="483">
        <f>IF($B42&lt;&gt;"",IF($B42&lt;=$C$38,$D42,D42+F42),0)</f>
        <v>7778961.8483823128</v>
      </c>
      <c r="F42" s="482">
        <f>IF($B42&lt;&gt;"",IF($B42&lt;=$C$38,0,$G$41/($C$37-$C$38)),0)</f>
        <v>4014300.8566033337</v>
      </c>
      <c r="G42" s="482">
        <f>IF($B42&lt;&gt;"",C42-F42,0)</f>
        <v>285015360.81883669</v>
      </c>
      <c r="H42" s="707"/>
      <c r="I42" s="707"/>
      <c r="J42" s="707">
        <f>IF(E42&gt;0,G41*$D$18,0)</f>
        <v>101160.38158640401</v>
      </c>
      <c r="K42" s="708">
        <f>E42+H42+I42+J42</f>
        <v>7880122.2299687164</v>
      </c>
    </row>
    <row r="43" spans="2:11" x14ac:dyDescent="0.2">
      <c r="B43" s="751">
        <f t="shared" si="5"/>
        <v>2</v>
      </c>
      <c r="C43" s="482">
        <f t="shared" si="6"/>
        <v>285015360.81883669</v>
      </c>
      <c r="D43" s="482">
        <f t="shared" ref="D43:D53" si="7">IF($B43&lt;&gt;"",C43*$I$30,0)</f>
        <v>3712374.0335598271</v>
      </c>
      <c r="E43" s="483">
        <f t="shared" ref="E43:E106" si="8">IF($B43&lt;&gt;"",IF($B43&lt;=$C$38,$D43,D43+F43),0)</f>
        <v>7726674.8901631609</v>
      </c>
      <c r="F43" s="482">
        <f t="shared" ref="F43:F106" si="9">IF($B43&lt;&gt;"",IF($B43&lt;=$C$38,0,$G$41/($C$37-$C$38)),0)</f>
        <v>4014300.8566033337</v>
      </c>
      <c r="G43" s="482">
        <f t="shared" ref="G43:G106" si="10">IF($B43&lt;&gt;"",C43-F43,0)</f>
        <v>281001059.96223336</v>
      </c>
      <c r="H43" s="707"/>
      <c r="I43" s="707"/>
      <c r="J43" s="707">
        <f>IF(E43&gt;0,J42,0)</f>
        <v>101160.38158640401</v>
      </c>
      <c r="K43" s="708">
        <f t="shared" ref="K43:K106" si="11">E43+H43+I43+J43</f>
        <v>7827835.2717495644</v>
      </c>
    </row>
    <row r="44" spans="2:11" x14ac:dyDescent="0.2">
      <c r="B44" s="751">
        <f t="shared" si="5"/>
        <v>3</v>
      </c>
      <c r="C44" s="482">
        <f t="shared" si="6"/>
        <v>281001059.96223336</v>
      </c>
      <c r="D44" s="482">
        <f t="shared" si="7"/>
        <v>3660087.0753406747</v>
      </c>
      <c r="E44" s="483">
        <f t="shared" si="8"/>
        <v>7674387.9319440089</v>
      </c>
      <c r="F44" s="482">
        <f t="shared" si="9"/>
        <v>4014300.8566033337</v>
      </c>
      <c r="G44" s="482">
        <f t="shared" si="10"/>
        <v>276986759.10563004</v>
      </c>
      <c r="H44" s="707"/>
      <c r="I44" s="707"/>
      <c r="J44" s="707">
        <f t="shared" ref="J44:J107" si="12">IF(E44&gt;0,J43,0)</f>
        <v>101160.38158640401</v>
      </c>
      <c r="K44" s="708">
        <f t="shared" si="11"/>
        <v>7775548.3135304125</v>
      </c>
    </row>
    <row r="45" spans="2:11" x14ac:dyDescent="0.2">
      <c r="B45" s="751">
        <f t="shared" si="5"/>
        <v>4</v>
      </c>
      <c r="C45" s="482">
        <f t="shared" si="6"/>
        <v>276986759.10563004</v>
      </c>
      <c r="D45" s="482">
        <f t="shared" si="7"/>
        <v>3607800.1171215223</v>
      </c>
      <c r="E45" s="483">
        <f t="shared" si="8"/>
        <v>7622100.973724856</v>
      </c>
      <c r="F45" s="482">
        <f t="shared" si="9"/>
        <v>4014300.8566033337</v>
      </c>
      <c r="G45" s="482">
        <f t="shared" si="10"/>
        <v>272972458.24902672</v>
      </c>
      <c r="H45" s="707"/>
      <c r="I45" s="707"/>
      <c r="J45" s="707">
        <f t="shared" si="12"/>
        <v>101160.38158640401</v>
      </c>
      <c r="K45" s="708">
        <f t="shared" si="11"/>
        <v>7723261.3553112596</v>
      </c>
    </row>
    <row r="46" spans="2:11" x14ac:dyDescent="0.2">
      <c r="B46" s="751">
        <f t="shared" si="5"/>
        <v>5</v>
      </c>
      <c r="C46" s="482">
        <f t="shared" si="6"/>
        <v>272972458.24902672</v>
      </c>
      <c r="D46" s="482">
        <f t="shared" si="7"/>
        <v>3555513.1589023704</v>
      </c>
      <c r="E46" s="483">
        <f t="shared" si="8"/>
        <v>7569814.0155057041</v>
      </c>
      <c r="F46" s="482">
        <f t="shared" si="9"/>
        <v>4014300.8566033337</v>
      </c>
      <c r="G46" s="482">
        <f t="shared" si="10"/>
        <v>268958157.39242339</v>
      </c>
      <c r="H46" s="707"/>
      <c r="I46" s="707"/>
      <c r="J46" s="707">
        <f t="shared" si="12"/>
        <v>101160.38158640401</v>
      </c>
      <c r="K46" s="708">
        <f t="shared" si="11"/>
        <v>7670974.3970921077</v>
      </c>
    </row>
    <row r="47" spans="2:11" x14ac:dyDescent="0.2">
      <c r="B47" s="751">
        <f t="shared" si="5"/>
        <v>6</v>
      </c>
      <c r="C47" s="482">
        <f t="shared" si="6"/>
        <v>268958157.39242339</v>
      </c>
      <c r="D47" s="482">
        <f t="shared" si="7"/>
        <v>3503226.200683218</v>
      </c>
      <c r="E47" s="483">
        <f t="shared" si="8"/>
        <v>7517527.0572865512</v>
      </c>
      <c r="F47" s="482">
        <f t="shared" si="9"/>
        <v>4014300.8566033337</v>
      </c>
      <c r="G47" s="482">
        <f t="shared" si="10"/>
        <v>264943856.53582007</v>
      </c>
      <c r="H47" s="707"/>
      <c r="I47" s="707"/>
      <c r="J47" s="707">
        <f t="shared" si="12"/>
        <v>101160.38158640401</v>
      </c>
      <c r="K47" s="708">
        <f t="shared" si="11"/>
        <v>7618687.4388729548</v>
      </c>
    </row>
    <row r="48" spans="2:11" x14ac:dyDescent="0.2">
      <c r="B48" s="751">
        <f t="shared" si="5"/>
        <v>7</v>
      </c>
      <c r="C48" s="482">
        <f t="shared" si="6"/>
        <v>264943856.53582007</v>
      </c>
      <c r="D48" s="482">
        <f t="shared" si="7"/>
        <v>3450939.2424640656</v>
      </c>
      <c r="E48" s="483">
        <f t="shared" si="8"/>
        <v>7465240.0990673993</v>
      </c>
      <c r="F48" s="482">
        <f t="shared" si="9"/>
        <v>4014300.8566033337</v>
      </c>
      <c r="G48" s="482">
        <f t="shared" si="10"/>
        <v>260929555.67921674</v>
      </c>
      <c r="H48" s="707"/>
      <c r="I48" s="707"/>
      <c r="J48" s="707">
        <f t="shared" si="12"/>
        <v>101160.38158640401</v>
      </c>
      <c r="K48" s="708">
        <f t="shared" si="11"/>
        <v>7566400.4806538029</v>
      </c>
    </row>
    <row r="49" spans="2:11" x14ac:dyDescent="0.2">
      <c r="B49" s="751">
        <f t="shared" si="5"/>
        <v>8</v>
      </c>
      <c r="C49" s="482">
        <f t="shared" si="6"/>
        <v>260929555.67921674</v>
      </c>
      <c r="D49" s="482">
        <f t="shared" si="7"/>
        <v>3398652.2842449131</v>
      </c>
      <c r="E49" s="483">
        <f t="shared" si="8"/>
        <v>7412953.1408482473</v>
      </c>
      <c r="F49" s="482">
        <f t="shared" si="9"/>
        <v>4014300.8566033337</v>
      </c>
      <c r="G49" s="482">
        <f t="shared" si="10"/>
        <v>256915254.82261342</v>
      </c>
      <c r="H49" s="707"/>
      <c r="I49" s="707"/>
      <c r="J49" s="707">
        <f t="shared" si="12"/>
        <v>101160.38158640401</v>
      </c>
      <c r="K49" s="708">
        <f t="shared" si="11"/>
        <v>7514113.5224346509</v>
      </c>
    </row>
    <row r="50" spans="2:11" x14ac:dyDescent="0.2">
      <c r="B50" s="751">
        <f t="shared" si="5"/>
        <v>9</v>
      </c>
      <c r="C50" s="482">
        <f>IF($B50&lt;&gt;"",G49,"")</f>
        <v>256915254.82261342</v>
      </c>
      <c r="D50" s="482">
        <f t="shared" si="7"/>
        <v>3346365.3260257607</v>
      </c>
      <c r="E50" s="483">
        <f t="shared" si="8"/>
        <v>7360666.1826290945</v>
      </c>
      <c r="F50" s="482">
        <f t="shared" si="9"/>
        <v>4014300.8566033337</v>
      </c>
      <c r="G50" s="482">
        <f t="shared" si="10"/>
        <v>252900953.96601009</v>
      </c>
      <c r="H50" s="707"/>
      <c r="I50" s="707"/>
      <c r="J50" s="707">
        <f t="shared" si="12"/>
        <v>101160.38158640401</v>
      </c>
      <c r="K50" s="708">
        <f t="shared" si="11"/>
        <v>7461826.564215498</v>
      </c>
    </row>
    <row r="51" spans="2:11" x14ac:dyDescent="0.2">
      <c r="B51" s="751">
        <f t="shared" si="5"/>
        <v>10</v>
      </c>
      <c r="C51" s="482">
        <f t="shared" si="6"/>
        <v>252900953.96601009</v>
      </c>
      <c r="D51" s="482">
        <f t="shared" si="7"/>
        <v>3294078.3678066083</v>
      </c>
      <c r="E51" s="483">
        <f t="shared" si="8"/>
        <v>7308379.2244099416</v>
      </c>
      <c r="F51" s="482">
        <f t="shared" si="9"/>
        <v>4014300.8566033337</v>
      </c>
      <c r="G51" s="482">
        <f t="shared" si="10"/>
        <v>248886653.10940677</v>
      </c>
      <c r="H51" s="707"/>
      <c r="I51" s="707"/>
      <c r="J51" s="707">
        <f t="shared" si="12"/>
        <v>101160.38158640401</v>
      </c>
      <c r="K51" s="708">
        <f t="shared" si="11"/>
        <v>7409539.6059963452</v>
      </c>
    </row>
    <row r="52" spans="2:11" x14ac:dyDescent="0.2">
      <c r="B52" s="751">
        <f t="shared" si="5"/>
        <v>11</v>
      </c>
      <c r="C52" s="482">
        <f t="shared" si="6"/>
        <v>248886653.10940677</v>
      </c>
      <c r="D52" s="482">
        <f t="shared" si="7"/>
        <v>3241791.4095874559</v>
      </c>
      <c r="E52" s="483">
        <f t="shared" si="8"/>
        <v>7256092.2661907896</v>
      </c>
      <c r="F52" s="482">
        <f t="shared" si="9"/>
        <v>4014300.8566033337</v>
      </c>
      <c r="G52" s="482">
        <f t="shared" si="10"/>
        <v>244872352.25280344</v>
      </c>
      <c r="H52" s="707"/>
      <c r="I52" s="707"/>
      <c r="J52" s="707">
        <f t="shared" si="12"/>
        <v>101160.38158640401</v>
      </c>
      <c r="K52" s="708">
        <f t="shared" si="11"/>
        <v>7357252.6477771932</v>
      </c>
    </row>
    <row r="53" spans="2:11" x14ac:dyDescent="0.2">
      <c r="B53" s="751">
        <f t="shared" si="5"/>
        <v>12</v>
      </c>
      <c r="C53" s="482">
        <f t="shared" si="6"/>
        <v>244872352.25280344</v>
      </c>
      <c r="D53" s="482">
        <f t="shared" si="7"/>
        <v>3189504.4513683035</v>
      </c>
      <c r="E53" s="483">
        <f t="shared" si="8"/>
        <v>7203805.3079716377</v>
      </c>
      <c r="F53" s="482">
        <f t="shared" si="9"/>
        <v>4014300.8566033337</v>
      </c>
      <c r="G53" s="482">
        <f t="shared" si="10"/>
        <v>240858051.39620012</v>
      </c>
      <c r="H53" s="707"/>
      <c r="I53" s="707"/>
      <c r="J53" s="707">
        <f t="shared" si="12"/>
        <v>101160.38158640401</v>
      </c>
      <c r="K53" s="708">
        <f t="shared" si="11"/>
        <v>7304965.6895580413</v>
      </c>
    </row>
    <row r="54" spans="2:11" x14ac:dyDescent="0.2">
      <c r="B54" s="751">
        <f t="shared" si="5"/>
        <v>13</v>
      </c>
      <c r="C54" s="482">
        <f t="shared" si="6"/>
        <v>240858051.39620012</v>
      </c>
      <c r="D54" s="482">
        <f>IF($B54&lt;&gt;"",C54*$I$31,0)</f>
        <v>3137217.4931491511</v>
      </c>
      <c r="E54" s="483">
        <f>IF($B54&lt;&gt;"",IF($B54&lt;=$C$38,$D54,D54+F54),0)</f>
        <v>7151518.3497524848</v>
      </c>
      <c r="F54" s="482">
        <f t="shared" si="9"/>
        <v>4014300.8566033337</v>
      </c>
      <c r="G54" s="482">
        <f t="shared" si="10"/>
        <v>236843750.5395968</v>
      </c>
      <c r="H54" s="707"/>
      <c r="I54" s="707"/>
      <c r="J54" s="707">
        <f t="shared" si="12"/>
        <v>101160.38158640401</v>
      </c>
      <c r="K54" s="708">
        <f t="shared" si="11"/>
        <v>7252678.7313388884</v>
      </c>
    </row>
    <row r="55" spans="2:11" x14ac:dyDescent="0.2">
      <c r="B55" s="751">
        <f t="shared" si="5"/>
        <v>14</v>
      </c>
      <c r="C55" s="482">
        <f t="shared" si="6"/>
        <v>236843750.5395968</v>
      </c>
      <c r="D55" s="482">
        <f t="shared" ref="D55:D65" si="13">IF($B55&lt;&gt;"",C55*$I$31,0)</f>
        <v>3084930.5349299987</v>
      </c>
      <c r="E55" s="483">
        <f t="shared" si="8"/>
        <v>7099231.3915333319</v>
      </c>
      <c r="F55" s="482">
        <f t="shared" si="9"/>
        <v>4014300.8566033337</v>
      </c>
      <c r="G55" s="482">
        <f t="shared" si="10"/>
        <v>232829449.68299347</v>
      </c>
      <c r="H55" s="707"/>
      <c r="I55" s="707"/>
      <c r="J55" s="707">
        <f t="shared" si="12"/>
        <v>101160.38158640401</v>
      </c>
      <c r="K55" s="708">
        <f t="shared" si="11"/>
        <v>7200391.7731197355</v>
      </c>
    </row>
    <row r="56" spans="2:11" x14ac:dyDescent="0.2">
      <c r="B56" s="751">
        <f t="shared" si="5"/>
        <v>15</v>
      </c>
      <c r="C56" s="482">
        <f t="shared" si="6"/>
        <v>232829449.68299347</v>
      </c>
      <c r="D56" s="482">
        <f t="shared" si="13"/>
        <v>3032643.5767108463</v>
      </c>
      <c r="E56" s="483">
        <f>IF($B56&lt;&gt;"",IF($B56&lt;=$C$38,$D56,D56+F56),0)</f>
        <v>7046944.43331418</v>
      </c>
      <c r="F56" s="482">
        <f t="shared" si="9"/>
        <v>4014300.8566033337</v>
      </c>
      <c r="G56" s="482">
        <f t="shared" si="10"/>
        <v>228815148.82639015</v>
      </c>
      <c r="H56" s="707"/>
      <c r="I56" s="707"/>
      <c r="J56" s="707">
        <f t="shared" si="12"/>
        <v>101160.38158640401</v>
      </c>
      <c r="K56" s="708">
        <f t="shared" si="11"/>
        <v>7148104.8149005836</v>
      </c>
    </row>
    <row r="57" spans="2:11" x14ac:dyDescent="0.2">
      <c r="B57" s="751">
        <f t="shared" si="5"/>
        <v>16</v>
      </c>
      <c r="C57" s="482">
        <f t="shared" si="6"/>
        <v>228815148.82639015</v>
      </c>
      <c r="D57" s="482">
        <f t="shared" si="13"/>
        <v>2980356.6184916939</v>
      </c>
      <c r="E57" s="483">
        <f t="shared" si="8"/>
        <v>6994657.4750950281</v>
      </c>
      <c r="F57" s="482">
        <f t="shared" si="9"/>
        <v>4014300.8566033337</v>
      </c>
      <c r="G57" s="482">
        <f t="shared" si="10"/>
        <v>224800847.96978682</v>
      </c>
      <c r="H57" s="707"/>
      <c r="I57" s="707"/>
      <c r="J57" s="707">
        <f t="shared" si="12"/>
        <v>101160.38158640401</v>
      </c>
      <c r="K57" s="708">
        <f t="shared" si="11"/>
        <v>7095817.8566814316</v>
      </c>
    </row>
    <row r="58" spans="2:11" x14ac:dyDescent="0.2">
      <c r="B58" s="751">
        <f t="shared" si="5"/>
        <v>17</v>
      </c>
      <c r="C58" s="482">
        <f t="shared" si="6"/>
        <v>224800847.96978682</v>
      </c>
      <c r="D58" s="482">
        <f t="shared" si="13"/>
        <v>2928069.6602725415</v>
      </c>
      <c r="E58" s="483">
        <f t="shared" si="8"/>
        <v>6942370.5168758752</v>
      </c>
      <c r="F58" s="482">
        <f t="shared" si="9"/>
        <v>4014300.8566033337</v>
      </c>
      <c r="G58" s="482">
        <f t="shared" si="10"/>
        <v>220786547.1131835</v>
      </c>
      <c r="H58" s="707"/>
      <c r="I58" s="707"/>
      <c r="J58" s="707">
        <f t="shared" si="12"/>
        <v>101160.38158640401</v>
      </c>
      <c r="K58" s="708">
        <f t="shared" si="11"/>
        <v>7043530.8984622788</v>
      </c>
    </row>
    <row r="59" spans="2:11" x14ac:dyDescent="0.2">
      <c r="B59" s="751">
        <f t="shared" si="5"/>
        <v>18</v>
      </c>
      <c r="C59" s="482">
        <f t="shared" si="6"/>
        <v>220786547.1131835</v>
      </c>
      <c r="D59" s="482">
        <f t="shared" si="13"/>
        <v>2875782.702053389</v>
      </c>
      <c r="E59" s="483">
        <f t="shared" si="8"/>
        <v>6890083.5586567223</v>
      </c>
      <c r="F59" s="482">
        <f t="shared" si="9"/>
        <v>4014300.8566033337</v>
      </c>
      <c r="G59" s="482">
        <f t="shared" si="10"/>
        <v>216772246.25658017</v>
      </c>
      <c r="H59" s="707"/>
      <c r="I59" s="707"/>
      <c r="J59" s="707">
        <f t="shared" si="12"/>
        <v>101160.38158640401</v>
      </c>
      <c r="K59" s="708">
        <f t="shared" si="11"/>
        <v>6991243.9402431259</v>
      </c>
    </row>
    <row r="60" spans="2:11" x14ac:dyDescent="0.2">
      <c r="B60" s="751">
        <f t="shared" si="5"/>
        <v>19</v>
      </c>
      <c r="C60" s="482">
        <f t="shared" si="6"/>
        <v>216772246.25658017</v>
      </c>
      <c r="D60" s="482">
        <f t="shared" si="13"/>
        <v>2823495.7438342371</v>
      </c>
      <c r="E60" s="483">
        <f>IF($B60&lt;&gt;"",IF($B60&lt;=$C$38,$D60,D60+F60),0)</f>
        <v>6837796.6004375704</v>
      </c>
      <c r="F60" s="482">
        <f t="shared" si="9"/>
        <v>4014300.8566033337</v>
      </c>
      <c r="G60" s="482">
        <f t="shared" si="10"/>
        <v>212757945.39997685</v>
      </c>
      <c r="H60" s="707"/>
      <c r="I60" s="707"/>
      <c r="J60" s="707">
        <f t="shared" si="12"/>
        <v>101160.38158640401</v>
      </c>
      <c r="K60" s="708">
        <f t="shared" si="11"/>
        <v>6938956.9820239739</v>
      </c>
    </row>
    <row r="61" spans="2:11" x14ac:dyDescent="0.2">
      <c r="B61" s="751">
        <f t="shared" si="5"/>
        <v>20</v>
      </c>
      <c r="C61" s="482">
        <f t="shared" si="6"/>
        <v>212757945.39997685</v>
      </c>
      <c r="D61" s="482">
        <f t="shared" si="13"/>
        <v>2771208.7856150847</v>
      </c>
      <c r="E61" s="483">
        <f t="shared" si="8"/>
        <v>6785509.6422184184</v>
      </c>
      <c r="F61" s="482">
        <f t="shared" si="9"/>
        <v>4014300.8566033337</v>
      </c>
      <c r="G61" s="482">
        <f t="shared" si="10"/>
        <v>208743644.54337353</v>
      </c>
      <c r="H61" s="707"/>
      <c r="I61" s="707"/>
      <c r="J61" s="707">
        <f t="shared" si="12"/>
        <v>101160.38158640401</v>
      </c>
      <c r="K61" s="708">
        <f t="shared" si="11"/>
        <v>6886670.023804822</v>
      </c>
    </row>
    <row r="62" spans="2:11" x14ac:dyDescent="0.2">
      <c r="B62" s="751">
        <f t="shared" si="5"/>
        <v>21</v>
      </c>
      <c r="C62" s="482">
        <f t="shared" si="6"/>
        <v>208743644.54337353</v>
      </c>
      <c r="D62" s="482">
        <f t="shared" si="13"/>
        <v>2718921.8273959323</v>
      </c>
      <c r="E62" s="483">
        <f t="shared" si="8"/>
        <v>6733222.6839992665</v>
      </c>
      <c r="F62" s="482">
        <f t="shared" si="9"/>
        <v>4014300.8566033337</v>
      </c>
      <c r="G62" s="482">
        <f t="shared" si="10"/>
        <v>204729343.6867702</v>
      </c>
      <c r="H62" s="707"/>
      <c r="I62" s="707"/>
      <c r="J62" s="707">
        <f t="shared" si="12"/>
        <v>101160.38158640401</v>
      </c>
      <c r="K62" s="708">
        <f t="shared" si="11"/>
        <v>6834383.0655856701</v>
      </c>
    </row>
    <row r="63" spans="2:11" x14ac:dyDescent="0.2">
      <c r="B63" s="751">
        <f t="shared" si="5"/>
        <v>22</v>
      </c>
      <c r="C63" s="482">
        <f t="shared" si="6"/>
        <v>204729343.6867702</v>
      </c>
      <c r="D63" s="482">
        <f t="shared" si="13"/>
        <v>2666634.8691767799</v>
      </c>
      <c r="E63" s="483">
        <f t="shared" si="8"/>
        <v>6680935.7257801136</v>
      </c>
      <c r="F63" s="482">
        <f t="shared" si="9"/>
        <v>4014300.8566033337</v>
      </c>
      <c r="G63" s="482">
        <f t="shared" si="10"/>
        <v>200715042.83016688</v>
      </c>
      <c r="H63" s="707"/>
      <c r="I63" s="707"/>
      <c r="J63" s="707">
        <f t="shared" si="12"/>
        <v>101160.38158640401</v>
      </c>
      <c r="K63" s="708">
        <f t="shared" si="11"/>
        <v>6782096.1073665172</v>
      </c>
    </row>
    <row r="64" spans="2:11" x14ac:dyDescent="0.2">
      <c r="B64" s="751">
        <f t="shared" si="5"/>
        <v>23</v>
      </c>
      <c r="C64" s="482">
        <f t="shared" si="6"/>
        <v>200715042.83016688</v>
      </c>
      <c r="D64" s="482">
        <f t="shared" si="13"/>
        <v>2614347.9109576275</v>
      </c>
      <c r="E64" s="483">
        <f t="shared" si="8"/>
        <v>6628648.7675609607</v>
      </c>
      <c r="F64" s="482">
        <f t="shared" si="9"/>
        <v>4014300.8566033337</v>
      </c>
      <c r="G64" s="482">
        <f t="shared" si="10"/>
        <v>196700741.97356355</v>
      </c>
      <c r="H64" s="707"/>
      <c r="I64" s="707"/>
      <c r="J64" s="707">
        <f t="shared" si="12"/>
        <v>101160.38158640401</v>
      </c>
      <c r="K64" s="708">
        <f t="shared" si="11"/>
        <v>6729809.1491473643</v>
      </c>
    </row>
    <row r="65" spans="2:11" x14ac:dyDescent="0.2">
      <c r="B65" s="751">
        <f t="shared" si="5"/>
        <v>24</v>
      </c>
      <c r="C65" s="482">
        <f t="shared" si="6"/>
        <v>196700741.97356355</v>
      </c>
      <c r="D65" s="482">
        <f t="shared" si="13"/>
        <v>2562060.9527384751</v>
      </c>
      <c r="E65" s="483">
        <f t="shared" si="8"/>
        <v>6576361.8093418088</v>
      </c>
      <c r="F65" s="482">
        <f t="shared" si="9"/>
        <v>4014300.8566033337</v>
      </c>
      <c r="G65" s="482">
        <f t="shared" si="10"/>
        <v>192686441.11696023</v>
      </c>
      <c r="H65" s="707"/>
      <c r="I65" s="707"/>
      <c r="J65" s="707">
        <f t="shared" si="12"/>
        <v>101160.38158640401</v>
      </c>
      <c r="K65" s="708">
        <f t="shared" si="11"/>
        <v>6677522.1909282124</v>
      </c>
    </row>
    <row r="66" spans="2:11" x14ac:dyDescent="0.2">
      <c r="B66" s="751">
        <f t="shared" si="5"/>
        <v>25</v>
      </c>
      <c r="C66" s="482">
        <f t="shared" si="6"/>
        <v>192686441.11696023</v>
      </c>
      <c r="D66" s="482">
        <f>IF($B66&lt;&gt;"",C66*$I$32,0)</f>
        <v>2509773.9945193226</v>
      </c>
      <c r="E66" s="483">
        <f>IF($B66&lt;&gt;"",IF($B66&lt;=$C$38,$D66,D66+F66),0)</f>
        <v>6524074.8511226568</v>
      </c>
      <c r="F66" s="482">
        <f t="shared" si="9"/>
        <v>4014300.8566033337</v>
      </c>
      <c r="G66" s="482">
        <f t="shared" si="10"/>
        <v>188672140.2603569</v>
      </c>
      <c r="H66" s="707"/>
      <c r="I66" s="707"/>
      <c r="J66" s="707">
        <f t="shared" si="12"/>
        <v>101160.38158640401</v>
      </c>
      <c r="K66" s="708">
        <f t="shared" si="11"/>
        <v>6625235.2327090604</v>
      </c>
    </row>
    <row r="67" spans="2:11" x14ac:dyDescent="0.2">
      <c r="B67" s="751">
        <f t="shared" si="5"/>
        <v>26</v>
      </c>
      <c r="C67" s="482">
        <f t="shared" si="6"/>
        <v>188672140.2603569</v>
      </c>
      <c r="D67" s="482">
        <f t="shared" ref="D67:D77" si="14">IF($B67&lt;&gt;"",C67*$I$32,0)</f>
        <v>2457487.0363001702</v>
      </c>
      <c r="E67" s="483">
        <f t="shared" si="8"/>
        <v>6471787.892903504</v>
      </c>
      <c r="F67" s="482">
        <f t="shared" si="9"/>
        <v>4014300.8566033337</v>
      </c>
      <c r="G67" s="482">
        <f t="shared" si="10"/>
        <v>184657839.40375358</v>
      </c>
      <c r="H67" s="707"/>
      <c r="I67" s="707"/>
      <c r="J67" s="707">
        <f t="shared" si="12"/>
        <v>101160.38158640401</v>
      </c>
      <c r="K67" s="708">
        <f t="shared" si="11"/>
        <v>6572948.2744899075</v>
      </c>
    </row>
    <row r="68" spans="2:11" x14ac:dyDescent="0.2">
      <c r="B68" s="751">
        <f t="shared" si="5"/>
        <v>27</v>
      </c>
      <c r="C68" s="482">
        <f t="shared" si="6"/>
        <v>184657839.40375358</v>
      </c>
      <c r="D68" s="482">
        <f t="shared" si="14"/>
        <v>2405200.0780810178</v>
      </c>
      <c r="E68" s="483">
        <f>IF($B68&lt;&gt;"",IF($B68&lt;=$C$38,$D68,D68+F68),0)</f>
        <v>6419500.9346843511</v>
      </c>
      <c r="F68" s="482">
        <f t="shared" si="9"/>
        <v>4014300.8566033337</v>
      </c>
      <c r="G68" s="482">
        <f t="shared" si="10"/>
        <v>180643538.54715025</v>
      </c>
      <c r="H68" s="707"/>
      <c r="I68" s="707"/>
      <c r="J68" s="707">
        <f t="shared" si="12"/>
        <v>101160.38158640401</v>
      </c>
      <c r="K68" s="708">
        <f t="shared" si="11"/>
        <v>6520661.3162707547</v>
      </c>
    </row>
    <row r="69" spans="2:11" x14ac:dyDescent="0.2">
      <c r="B69" s="751">
        <f t="shared" si="5"/>
        <v>28</v>
      </c>
      <c r="C69" s="482">
        <f t="shared" si="6"/>
        <v>180643538.54715025</v>
      </c>
      <c r="D69" s="482">
        <f t="shared" si="14"/>
        <v>2352913.1198618654</v>
      </c>
      <c r="E69" s="483">
        <f t="shared" si="8"/>
        <v>6367213.9764651991</v>
      </c>
      <c r="F69" s="482">
        <f t="shared" si="9"/>
        <v>4014300.8566033337</v>
      </c>
      <c r="G69" s="482">
        <f t="shared" si="10"/>
        <v>176629237.69054693</v>
      </c>
      <c r="H69" s="707"/>
      <c r="I69" s="707"/>
      <c r="J69" s="707">
        <f t="shared" si="12"/>
        <v>101160.38158640401</v>
      </c>
      <c r="K69" s="708">
        <f t="shared" si="11"/>
        <v>6468374.3580516027</v>
      </c>
    </row>
    <row r="70" spans="2:11" x14ac:dyDescent="0.2">
      <c r="B70" s="751">
        <f t="shared" si="5"/>
        <v>29</v>
      </c>
      <c r="C70" s="482">
        <f t="shared" si="6"/>
        <v>176629237.69054693</v>
      </c>
      <c r="D70" s="482">
        <f t="shared" si="14"/>
        <v>2300626.161642713</v>
      </c>
      <c r="E70" s="483">
        <f t="shared" si="8"/>
        <v>6314927.0182460472</v>
      </c>
      <c r="F70" s="482">
        <f t="shared" si="9"/>
        <v>4014300.8566033337</v>
      </c>
      <c r="G70" s="482">
        <f t="shared" si="10"/>
        <v>172614936.83394361</v>
      </c>
      <c r="H70" s="707"/>
      <c r="I70" s="707"/>
      <c r="J70" s="707">
        <f t="shared" si="12"/>
        <v>101160.38158640401</v>
      </c>
      <c r="K70" s="708">
        <f t="shared" si="11"/>
        <v>6416087.3998324508</v>
      </c>
    </row>
    <row r="71" spans="2:11" x14ac:dyDescent="0.2">
      <c r="B71" s="751">
        <f t="shared" si="5"/>
        <v>30</v>
      </c>
      <c r="C71" s="482">
        <f t="shared" si="6"/>
        <v>172614936.83394361</v>
      </c>
      <c r="D71" s="482">
        <f t="shared" si="14"/>
        <v>2248339.2034235606</v>
      </c>
      <c r="E71" s="483">
        <f t="shared" si="8"/>
        <v>6262640.0600268943</v>
      </c>
      <c r="F71" s="482">
        <f t="shared" si="9"/>
        <v>4014300.8566033337</v>
      </c>
      <c r="G71" s="482">
        <f t="shared" si="10"/>
        <v>168600635.97734028</v>
      </c>
      <c r="H71" s="707"/>
      <c r="I71" s="707"/>
      <c r="J71" s="707">
        <f t="shared" si="12"/>
        <v>101160.38158640401</v>
      </c>
      <c r="K71" s="708">
        <f t="shared" si="11"/>
        <v>6363800.4416132979</v>
      </c>
    </row>
    <row r="72" spans="2:11" x14ac:dyDescent="0.2">
      <c r="B72" s="751">
        <f t="shared" si="5"/>
        <v>31</v>
      </c>
      <c r="C72" s="482">
        <f t="shared" si="6"/>
        <v>168600635.97734028</v>
      </c>
      <c r="D72" s="482">
        <f t="shared" si="14"/>
        <v>2196052.2452044082</v>
      </c>
      <c r="E72" s="483">
        <f t="shared" si="8"/>
        <v>6210353.1018077414</v>
      </c>
      <c r="F72" s="482">
        <f t="shared" si="9"/>
        <v>4014300.8566033337</v>
      </c>
      <c r="G72" s="482">
        <f t="shared" si="10"/>
        <v>164586335.12073696</v>
      </c>
      <c r="H72" s="707"/>
      <c r="I72" s="707"/>
      <c r="J72" s="707">
        <f t="shared" si="12"/>
        <v>101160.38158640401</v>
      </c>
      <c r="K72" s="708">
        <f t="shared" si="11"/>
        <v>6311513.483394145</v>
      </c>
    </row>
    <row r="73" spans="2:11" x14ac:dyDescent="0.2">
      <c r="B73" s="751">
        <f t="shared" si="5"/>
        <v>32</v>
      </c>
      <c r="C73" s="482">
        <f t="shared" si="6"/>
        <v>164586335.12073696</v>
      </c>
      <c r="D73" s="482">
        <f t="shared" si="14"/>
        <v>2143765.2869852558</v>
      </c>
      <c r="E73" s="483">
        <f>IF($B73&lt;&gt;"",IF($B73&lt;=$C$38,$D73,D73+F73),0)</f>
        <v>6158066.1435885895</v>
      </c>
      <c r="F73" s="482">
        <f t="shared" si="9"/>
        <v>4014300.8566033337</v>
      </c>
      <c r="G73" s="482">
        <f t="shared" si="10"/>
        <v>160572034.26413363</v>
      </c>
      <c r="H73" s="707"/>
      <c r="I73" s="707"/>
      <c r="J73" s="707">
        <f t="shared" si="12"/>
        <v>101160.38158640401</v>
      </c>
      <c r="K73" s="708">
        <f t="shared" si="11"/>
        <v>6259226.5251749931</v>
      </c>
    </row>
    <row r="74" spans="2:11" x14ac:dyDescent="0.2">
      <c r="B74" s="751">
        <f t="shared" si="5"/>
        <v>33</v>
      </c>
      <c r="C74" s="482">
        <f t="shared" ref="C74:C105" si="15">IF($B74&lt;&gt;"",G73,"")</f>
        <v>160572034.26413363</v>
      </c>
      <c r="D74" s="482">
        <f t="shared" si="14"/>
        <v>2091478.3287661036</v>
      </c>
      <c r="E74" s="483">
        <f t="shared" si="8"/>
        <v>6105779.1853694376</v>
      </c>
      <c r="F74" s="482">
        <f t="shared" si="9"/>
        <v>4014300.8566033337</v>
      </c>
      <c r="G74" s="482">
        <f t="shared" si="10"/>
        <v>156557733.40753031</v>
      </c>
      <c r="H74" s="707"/>
      <c r="I74" s="707"/>
      <c r="J74" s="707">
        <f t="shared" si="12"/>
        <v>101160.38158640401</v>
      </c>
      <c r="K74" s="708">
        <f t="shared" si="11"/>
        <v>6206939.5669558411</v>
      </c>
    </row>
    <row r="75" spans="2:11" x14ac:dyDescent="0.2">
      <c r="B75" s="751">
        <f t="shared" ref="B75:B106" si="16">+IF(B74&lt;&gt;"",IF($C$37&gt;B74,B74+1,""),"")</f>
        <v>34</v>
      </c>
      <c r="C75" s="482">
        <f t="shared" si="15"/>
        <v>156557733.40753031</v>
      </c>
      <c r="D75" s="482">
        <f t="shared" si="14"/>
        <v>2039191.3705469512</v>
      </c>
      <c r="E75" s="483">
        <f t="shared" si="8"/>
        <v>6053492.2271502847</v>
      </c>
      <c r="F75" s="482">
        <f t="shared" si="9"/>
        <v>4014300.8566033337</v>
      </c>
      <c r="G75" s="482">
        <f t="shared" si="10"/>
        <v>152543432.55092698</v>
      </c>
      <c r="H75" s="707"/>
      <c r="I75" s="707"/>
      <c r="J75" s="707">
        <f t="shared" si="12"/>
        <v>101160.38158640401</v>
      </c>
      <c r="K75" s="708">
        <f t="shared" si="11"/>
        <v>6154652.6087366883</v>
      </c>
    </row>
    <row r="76" spans="2:11" x14ac:dyDescent="0.2">
      <c r="B76" s="751">
        <f t="shared" si="16"/>
        <v>35</v>
      </c>
      <c r="C76" s="482">
        <f t="shared" si="15"/>
        <v>152543432.55092698</v>
      </c>
      <c r="D76" s="482">
        <f t="shared" si="14"/>
        <v>1986904.4123277988</v>
      </c>
      <c r="E76" s="483">
        <f t="shared" si="8"/>
        <v>6001205.2689311327</v>
      </c>
      <c r="F76" s="482">
        <f t="shared" si="9"/>
        <v>4014300.8566033337</v>
      </c>
      <c r="G76" s="482">
        <f t="shared" si="10"/>
        <v>148529131.69432366</v>
      </c>
      <c r="H76" s="707"/>
      <c r="I76" s="707"/>
      <c r="J76" s="707">
        <f t="shared" si="12"/>
        <v>101160.38158640401</v>
      </c>
      <c r="K76" s="708">
        <f t="shared" si="11"/>
        <v>6102365.6505175363</v>
      </c>
    </row>
    <row r="77" spans="2:11" x14ac:dyDescent="0.2">
      <c r="B77" s="751">
        <f t="shared" si="16"/>
        <v>36</v>
      </c>
      <c r="C77" s="482">
        <f t="shared" si="15"/>
        <v>148529131.69432366</v>
      </c>
      <c r="D77" s="482">
        <f t="shared" si="14"/>
        <v>1934617.4541086464</v>
      </c>
      <c r="E77" s="483">
        <f t="shared" si="8"/>
        <v>5948918.3107119799</v>
      </c>
      <c r="F77" s="482">
        <f t="shared" si="9"/>
        <v>4014300.8566033337</v>
      </c>
      <c r="G77" s="482">
        <f t="shared" si="10"/>
        <v>144514830.83772033</v>
      </c>
      <c r="H77" s="707"/>
      <c r="I77" s="707"/>
      <c r="J77" s="707">
        <f t="shared" si="12"/>
        <v>101160.38158640401</v>
      </c>
      <c r="K77" s="708">
        <f t="shared" si="11"/>
        <v>6050078.6922983835</v>
      </c>
    </row>
    <row r="78" spans="2:11" x14ac:dyDescent="0.2">
      <c r="B78" s="751">
        <f t="shared" si="16"/>
        <v>37</v>
      </c>
      <c r="C78" s="482">
        <f t="shared" si="15"/>
        <v>144514830.83772033</v>
      </c>
      <c r="D78" s="482">
        <f>IF($B78&lt;&gt;"",C78*$I$33,0)</f>
        <v>1882330.4958894942</v>
      </c>
      <c r="E78" s="483">
        <f>IF($B78&lt;&gt;"",IF($B78&lt;=$C$38,$D78,D78+F78),0)</f>
        <v>5896631.3524928279</v>
      </c>
      <c r="F78" s="482">
        <f t="shared" si="9"/>
        <v>4014300.8566033337</v>
      </c>
      <c r="G78" s="482">
        <f t="shared" si="10"/>
        <v>140500529.98111701</v>
      </c>
      <c r="H78" s="707"/>
      <c r="I78" s="707"/>
      <c r="J78" s="707">
        <f t="shared" si="12"/>
        <v>101160.38158640401</v>
      </c>
      <c r="K78" s="708">
        <f t="shared" si="11"/>
        <v>5997791.7340792315</v>
      </c>
    </row>
    <row r="79" spans="2:11" x14ac:dyDescent="0.2">
      <c r="B79" s="751">
        <f t="shared" si="16"/>
        <v>38</v>
      </c>
      <c r="C79" s="482">
        <f t="shared" si="15"/>
        <v>140500529.98111701</v>
      </c>
      <c r="D79" s="482">
        <f t="shared" ref="D79:D89" si="17">IF($B79&lt;&gt;"",C79*$I$33,0)</f>
        <v>1830043.5376703418</v>
      </c>
      <c r="E79" s="483">
        <f t="shared" si="8"/>
        <v>5844344.394273676</v>
      </c>
      <c r="F79" s="482">
        <f t="shared" si="9"/>
        <v>4014300.8566033337</v>
      </c>
      <c r="G79" s="482">
        <f t="shared" si="10"/>
        <v>136486229.12451369</v>
      </c>
      <c r="H79" s="707"/>
      <c r="I79" s="707"/>
      <c r="J79" s="707">
        <f t="shared" si="12"/>
        <v>101160.38158640401</v>
      </c>
      <c r="K79" s="708">
        <f t="shared" si="11"/>
        <v>5945504.7758600796</v>
      </c>
    </row>
    <row r="80" spans="2:11" x14ac:dyDescent="0.2">
      <c r="B80" s="751">
        <f t="shared" si="16"/>
        <v>39</v>
      </c>
      <c r="C80" s="482">
        <f t="shared" si="15"/>
        <v>136486229.12451369</v>
      </c>
      <c r="D80" s="482">
        <f t="shared" si="17"/>
        <v>1777756.5794511894</v>
      </c>
      <c r="E80" s="483">
        <f t="shared" si="8"/>
        <v>5792057.4360545231</v>
      </c>
      <c r="F80" s="482">
        <f t="shared" si="9"/>
        <v>4014300.8566033337</v>
      </c>
      <c r="G80" s="482">
        <f t="shared" si="10"/>
        <v>132471928.26791035</v>
      </c>
      <c r="H80" s="707"/>
      <c r="I80" s="707"/>
      <c r="J80" s="707">
        <f t="shared" si="12"/>
        <v>101160.38158640401</v>
      </c>
      <c r="K80" s="708">
        <f t="shared" si="11"/>
        <v>5893217.8176409267</v>
      </c>
    </row>
    <row r="81" spans="2:11" x14ac:dyDescent="0.2">
      <c r="B81" s="751">
        <f t="shared" si="16"/>
        <v>40</v>
      </c>
      <c r="C81" s="482">
        <f t="shared" si="15"/>
        <v>132471928.26791035</v>
      </c>
      <c r="D81" s="482">
        <f t="shared" si="17"/>
        <v>1725469.6212320367</v>
      </c>
      <c r="E81" s="483">
        <f t="shared" si="8"/>
        <v>5739770.4778353702</v>
      </c>
      <c r="F81" s="482">
        <f t="shared" si="9"/>
        <v>4014300.8566033337</v>
      </c>
      <c r="G81" s="482">
        <f t="shared" si="10"/>
        <v>128457627.41130701</v>
      </c>
      <c r="H81" s="707"/>
      <c r="I81" s="707"/>
      <c r="J81" s="707">
        <f t="shared" si="12"/>
        <v>101160.38158640401</v>
      </c>
      <c r="K81" s="708">
        <f t="shared" si="11"/>
        <v>5840930.8594217738</v>
      </c>
    </row>
    <row r="82" spans="2:11" x14ac:dyDescent="0.2">
      <c r="B82" s="751">
        <f t="shared" si="16"/>
        <v>41</v>
      </c>
      <c r="C82" s="482">
        <f t="shared" si="15"/>
        <v>128457627.41130701</v>
      </c>
      <c r="D82" s="482">
        <f t="shared" si="17"/>
        <v>1673182.6630128841</v>
      </c>
      <c r="E82" s="483">
        <f t="shared" si="8"/>
        <v>5687483.5196162183</v>
      </c>
      <c r="F82" s="482">
        <f t="shared" si="9"/>
        <v>4014300.8566033337</v>
      </c>
      <c r="G82" s="482">
        <f t="shared" si="10"/>
        <v>124443326.55470367</v>
      </c>
      <c r="H82" s="707"/>
      <c r="I82" s="707"/>
      <c r="J82" s="707">
        <f t="shared" si="12"/>
        <v>101160.38158640401</v>
      </c>
      <c r="K82" s="708">
        <f t="shared" si="11"/>
        <v>5788643.9012026219</v>
      </c>
    </row>
    <row r="83" spans="2:11" x14ac:dyDescent="0.2">
      <c r="B83" s="751">
        <f t="shared" si="16"/>
        <v>42</v>
      </c>
      <c r="C83" s="482">
        <f t="shared" si="15"/>
        <v>124443326.55470367</v>
      </c>
      <c r="D83" s="482">
        <f t="shared" si="17"/>
        <v>1620895.7047937317</v>
      </c>
      <c r="E83" s="483">
        <f t="shared" si="8"/>
        <v>5635196.5613970654</v>
      </c>
      <c r="F83" s="482">
        <f>IF($B83&lt;&gt;"",IF($B83&lt;=$C$38,0,$G$41/($C$37-$C$38)),0)</f>
        <v>4014300.8566033337</v>
      </c>
      <c r="G83" s="482">
        <f t="shared" si="10"/>
        <v>120429025.69810033</v>
      </c>
      <c r="H83" s="707"/>
      <c r="I83" s="707"/>
      <c r="J83" s="707">
        <f t="shared" si="12"/>
        <v>101160.38158640401</v>
      </c>
      <c r="K83" s="708">
        <f t="shared" si="11"/>
        <v>5736356.942983469</v>
      </c>
    </row>
    <row r="84" spans="2:11" x14ac:dyDescent="0.2">
      <c r="B84" s="751">
        <f t="shared" si="16"/>
        <v>43</v>
      </c>
      <c r="C84" s="482">
        <f t="shared" si="15"/>
        <v>120429025.69810033</v>
      </c>
      <c r="D84" s="482">
        <f t="shared" si="17"/>
        <v>1568608.746574579</v>
      </c>
      <c r="E84" s="483">
        <f t="shared" si="8"/>
        <v>5582909.6031779125</v>
      </c>
      <c r="F84" s="482">
        <f t="shared" si="9"/>
        <v>4014300.8566033337</v>
      </c>
      <c r="G84" s="482">
        <f t="shared" si="10"/>
        <v>116414724.84149699</v>
      </c>
      <c r="H84" s="707"/>
      <c r="I84" s="707"/>
      <c r="J84" s="707">
        <f t="shared" si="12"/>
        <v>101160.38158640401</v>
      </c>
      <c r="K84" s="708">
        <f t="shared" si="11"/>
        <v>5684069.9847643161</v>
      </c>
    </row>
    <row r="85" spans="2:11" x14ac:dyDescent="0.2">
      <c r="B85" s="751">
        <f t="shared" si="16"/>
        <v>44</v>
      </c>
      <c r="C85" s="482">
        <f t="shared" si="15"/>
        <v>116414724.84149699</v>
      </c>
      <c r="D85" s="482">
        <f t="shared" si="17"/>
        <v>1516321.7883554264</v>
      </c>
      <c r="E85" s="483">
        <f>IF($B85&lt;&gt;"",IF($B85&lt;=$C$38,$D85,D85+F85),0)</f>
        <v>5530622.6449587606</v>
      </c>
      <c r="F85" s="482">
        <f t="shared" si="9"/>
        <v>4014300.8566033337</v>
      </c>
      <c r="G85" s="482">
        <f t="shared" si="10"/>
        <v>112400423.98489365</v>
      </c>
      <c r="H85" s="707"/>
      <c r="I85" s="707"/>
      <c r="J85" s="707">
        <f t="shared" si="12"/>
        <v>101160.38158640401</v>
      </c>
      <c r="K85" s="708">
        <f t="shared" si="11"/>
        <v>5631783.0265451642</v>
      </c>
    </row>
    <row r="86" spans="2:11" x14ac:dyDescent="0.2">
      <c r="B86" s="751">
        <f t="shared" si="16"/>
        <v>45</v>
      </c>
      <c r="C86" s="482">
        <f t="shared" si="15"/>
        <v>112400423.98489365</v>
      </c>
      <c r="D86" s="482">
        <f t="shared" si="17"/>
        <v>1464034.830136274</v>
      </c>
      <c r="E86" s="483">
        <f t="shared" si="8"/>
        <v>5478335.6867396077</v>
      </c>
      <c r="F86" s="482">
        <f t="shared" si="9"/>
        <v>4014300.8566033337</v>
      </c>
      <c r="G86" s="482">
        <f t="shared" si="10"/>
        <v>108386123.12829031</v>
      </c>
      <c r="H86" s="707"/>
      <c r="I86" s="707"/>
      <c r="J86" s="707">
        <f t="shared" si="12"/>
        <v>101160.38158640401</v>
      </c>
      <c r="K86" s="708">
        <f t="shared" si="11"/>
        <v>5579496.0683260113</v>
      </c>
    </row>
    <row r="87" spans="2:11" x14ac:dyDescent="0.2">
      <c r="B87" s="751">
        <f t="shared" si="16"/>
        <v>46</v>
      </c>
      <c r="C87" s="482">
        <f t="shared" si="15"/>
        <v>108386123.12829031</v>
      </c>
      <c r="D87" s="482">
        <f t="shared" si="17"/>
        <v>1411747.8719171213</v>
      </c>
      <c r="E87" s="483">
        <f t="shared" si="8"/>
        <v>5426048.7285204548</v>
      </c>
      <c r="F87" s="482">
        <f t="shared" si="9"/>
        <v>4014300.8566033337</v>
      </c>
      <c r="G87" s="482">
        <f t="shared" si="10"/>
        <v>104371822.27168697</v>
      </c>
      <c r="H87" s="707"/>
      <c r="I87" s="707"/>
      <c r="J87" s="707">
        <f t="shared" si="12"/>
        <v>101160.38158640401</v>
      </c>
      <c r="K87" s="708">
        <f t="shared" si="11"/>
        <v>5527209.1101068584</v>
      </c>
    </row>
    <row r="88" spans="2:11" x14ac:dyDescent="0.2">
      <c r="B88" s="751">
        <f t="shared" si="16"/>
        <v>47</v>
      </c>
      <c r="C88" s="482">
        <f t="shared" si="15"/>
        <v>104371822.27168697</v>
      </c>
      <c r="D88" s="482">
        <f t="shared" si="17"/>
        <v>1359460.9136979687</v>
      </c>
      <c r="E88" s="483">
        <f t="shared" si="8"/>
        <v>5373761.7703013029</v>
      </c>
      <c r="F88" s="482">
        <f t="shared" si="9"/>
        <v>4014300.8566033337</v>
      </c>
      <c r="G88" s="482">
        <f t="shared" si="10"/>
        <v>100357521.41508363</v>
      </c>
      <c r="H88" s="707"/>
      <c r="I88" s="707"/>
      <c r="J88" s="707">
        <f t="shared" si="12"/>
        <v>101160.38158640401</v>
      </c>
      <c r="K88" s="708">
        <f t="shared" si="11"/>
        <v>5474922.1518877065</v>
      </c>
    </row>
    <row r="89" spans="2:11" x14ac:dyDescent="0.2">
      <c r="B89" s="751">
        <f t="shared" si="16"/>
        <v>48</v>
      </c>
      <c r="C89" s="482">
        <f t="shared" si="15"/>
        <v>100357521.41508363</v>
      </c>
      <c r="D89" s="482">
        <f t="shared" si="17"/>
        <v>1307173.9554788163</v>
      </c>
      <c r="E89" s="483">
        <f t="shared" si="8"/>
        <v>5321474.81208215</v>
      </c>
      <c r="F89" s="482">
        <f t="shared" si="9"/>
        <v>4014300.8566033337</v>
      </c>
      <c r="G89" s="482">
        <f t="shared" si="10"/>
        <v>96343220.558480293</v>
      </c>
      <c r="H89" s="707"/>
      <c r="I89" s="707"/>
      <c r="J89" s="707">
        <f t="shared" si="12"/>
        <v>101160.38158640401</v>
      </c>
      <c r="K89" s="708">
        <f t="shared" si="11"/>
        <v>5422635.1936685536</v>
      </c>
    </row>
    <row r="90" spans="2:11" x14ac:dyDescent="0.2">
      <c r="B90" s="751">
        <f t="shared" si="16"/>
        <v>49</v>
      </c>
      <c r="C90" s="482">
        <f t="shared" si="15"/>
        <v>96343220.558480293</v>
      </c>
      <c r="D90" s="482">
        <f>+IF($B90&lt;&gt;"",C90*$I$34,0)</f>
        <v>1254886.9972596637</v>
      </c>
      <c r="E90" s="483">
        <f>IF($B90&lt;&gt;"",IF($B90&lt;=$C$38,$D90,D90+F90),0)</f>
        <v>5269187.8538629971</v>
      </c>
      <c r="F90" s="482">
        <f t="shared" si="9"/>
        <v>4014300.8566033337</v>
      </c>
      <c r="G90" s="482">
        <f t="shared" si="10"/>
        <v>92328919.701876953</v>
      </c>
      <c r="H90" s="707"/>
      <c r="I90" s="707"/>
      <c r="J90" s="707">
        <f t="shared" si="12"/>
        <v>101160.38158640401</v>
      </c>
      <c r="K90" s="708">
        <f t="shared" si="11"/>
        <v>5370348.2354494007</v>
      </c>
    </row>
    <row r="91" spans="2:11" x14ac:dyDescent="0.2">
      <c r="B91" s="751">
        <f t="shared" si="16"/>
        <v>50</v>
      </c>
      <c r="C91" s="482">
        <f t="shared" si="15"/>
        <v>92328919.701876953</v>
      </c>
      <c r="D91" s="482">
        <f t="shared" ref="D91:D101" si="18">+IF($B91&lt;&gt;"",C91*$I$34,0)</f>
        <v>1202600.039040511</v>
      </c>
      <c r="E91" s="483">
        <f t="shared" si="8"/>
        <v>5216900.8956438452</v>
      </c>
      <c r="F91" s="482">
        <f t="shared" si="9"/>
        <v>4014300.8566033337</v>
      </c>
      <c r="G91" s="482">
        <f t="shared" si="10"/>
        <v>88314618.845273614</v>
      </c>
      <c r="H91" s="707"/>
      <c r="I91" s="707"/>
      <c r="J91" s="707">
        <f t="shared" si="12"/>
        <v>101160.38158640401</v>
      </c>
      <c r="K91" s="708">
        <f t="shared" si="11"/>
        <v>5318061.2772302488</v>
      </c>
    </row>
    <row r="92" spans="2:11" x14ac:dyDescent="0.2">
      <c r="B92" s="751">
        <f t="shared" si="16"/>
        <v>51</v>
      </c>
      <c r="C92" s="482">
        <f t="shared" si="15"/>
        <v>88314618.845273614</v>
      </c>
      <c r="D92" s="482">
        <f t="shared" si="18"/>
        <v>1150313.0808213586</v>
      </c>
      <c r="E92" s="483">
        <f t="shared" si="8"/>
        <v>5164613.9374246923</v>
      </c>
      <c r="F92" s="482">
        <f t="shared" si="9"/>
        <v>4014300.8566033337</v>
      </c>
      <c r="G92" s="482">
        <f t="shared" si="10"/>
        <v>84300317.988670275</v>
      </c>
      <c r="H92" s="707"/>
      <c r="I92" s="707"/>
      <c r="J92" s="707">
        <f t="shared" si="12"/>
        <v>101160.38158640401</v>
      </c>
      <c r="K92" s="708">
        <f t="shared" si="11"/>
        <v>5265774.3190110959</v>
      </c>
    </row>
    <row r="93" spans="2:11" x14ac:dyDescent="0.2">
      <c r="B93" s="751">
        <f t="shared" si="16"/>
        <v>52</v>
      </c>
      <c r="C93" s="482">
        <f t="shared" si="15"/>
        <v>84300317.988670275</v>
      </c>
      <c r="D93" s="482">
        <f t="shared" si="18"/>
        <v>1098026.122602206</v>
      </c>
      <c r="E93" s="483">
        <f t="shared" si="8"/>
        <v>5112326.9792055395</v>
      </c>
      <c r="F93" s="482">
        <f t="shared" si="9"/>
        <v>4014300.8566033337</v>
      </c>
      <c r="G93" s="482">
        <f t="shared" si="10"/>
        <v>80286017.132066935</v>
      </c>
      <c r="H93" s="707"/>
      <c r="I93" s="707"/>
      <c r="J93" s="707">
        <f t="shared" si="12"/>
        <v>101160.38158640401</v>
      </c>
      <c r="K93" s="708">
        <f t="shared" si="11"/>
        <v>5213487.360791943</v>
      </c>
    </row>
    <row r="94" spans="2:11" x14ac:dyDescent="0.2">
      <c r="B94" s="751">
        <f t="shared" si="16"/>
        <v>53</v>
      </c>
      <c r="C94" s="482">
        <f t="shared" si="15"/>
        <v>80286017.132066935</v>
      </c>
      <c r="D94" s="482">
        <f t="shared" si="18"/>
        <v>1045739.1643830533</v>
      </c>
      <c r="E94" s="483">
        <f t="shared" si="8"/>
        <v>5060040.0209863875</v>
      </c>
      <c r="F94" s="482">
        <f t="shared" si="9"/>
        <v>4014300.8566033337</v>
      </c>
      <c r="G94" s="482">
        <f t="shared" si="10"/>
        <v>76271716.275463596</v>
      </c>
      <c r="H94" s="707"/>
      <c r="I94" s="707"/>
      <c r="J94" s="707">
        <f t="shared" si="12"/>
        <v>101160.38158640401</v>
      </c>
      <c r="K94" s="708">
        <f t="shared" si="11"/>
        <v>5161200.4025727911</v>
      </c>
    </row>
    <row r="95" spans="2:11" x14ac:dyDescent="0.2">
      <c r="B95" s="751">
        <f t="shared" si="16"/>
        <v>54</v>
      </c>
      <c r="C95" s="482">
        <f t="shared" si="15"/>
        <v>76271716.275463596</v>
      </c>
      <c r="D95" s="482">
        <f t="shared" si="18"/>
        <v>993452.20616390079</v>
      </c>
      <c r="E95" s="483">
        <f t="shared" si="8"/>
        <v>5007753.0627672346</v>
      </c>
      <c r="F95" s="482">
        <f t="shared" si="9"/>
        <v>4014300.8566033337</v>
      </c>
      <c r="G95" s="482">
        <f t="shared" si="10"/>
        <v>72257415.418860257</v>
      </c>
      <c r="H95" s="707"/>
      <c r="I95" s="707"/>
      <c r="J95" s="707">
        <f t="shared" si="12"/>
        <v>101160.38158640401</v>
      </c>
      <c r="K95" s="708">
        <f t="shared" si="11"/>
        <v>5108913.4443536382</v>
      </c>
    </row>
    <row r="96" spans="2:11" x14ac:dyDescent="0.2">
      <c r="B96" s="751">
        <f t="shared" si="16"/>
        <v>55</v>
      </c>
      <c r="C96" s="482">
        <f t="shared" si="15"/>
        <v>72257415.418860257</v>
      </c>
      <c r="D96" s="482">
        <f t="shared" si="18"/>
        <v>941165.24794474826</v>
      </c>
      <c r="E96" s="483">
        <f t="shared" si="8"/>
        <v>4955466.1045480818</v>
      </c>
      <c r="F96" s="482">
        <f t="shared" si="9"/>
        <v>4014300.8566033337</v>
      </c>
      <c r="G96" s="482">
        <f t="shared" si="10"/>
        <v>68243114.562256917</v>
      </c>
      <c r="H96" s="707"/>
      <c r="I96" s="707"/>
      <c r="J96" s="707">
        <f t="shared" si="12"/>
        <v>101160.38158640401</v>
      </c>
      <c r="K96" s="708">
        <f t="shared" si="11"/>
        <v>5056626.4861344853</v>
      </c>
    </row>
    <row r="97" spans="2:11" x14ac:dyDescent="0.2">
      <c r="B97" s="751">
        <f t="shared" si="16"/>
        <v>56</v>
      </c>
      <c r="C97" s="482">
        <f t="shared" si="15"/>
        <v>68243114.562256917</v>
      </c>
      <c r="D97" s="482">
        <f t="shared" si="18"/>
        <v>888878.28972559562</v>
      </c>
      <c r="E97" s="483">
        <f t="shared" si="8"/>
        <v>4903179.1463289298</v>
      </c>
      <c r="F97" s="482">
        <f t="shared" si="9"/>
        <v>4014300.8566033337</v>
      </c>
      <c r="G97" s="482">
        <f t="shared" si="10"/>
        <v>64228813.705653585</v>
      </c>
      <c r="H97" s="707"/>
      <c r="I97" s="707"/>
      <c r="J97" s="707">
        <f t="shared" si="12"/>
        <v>101160.38158640401</v>
      </c>
      <c r="K97" s="708">
        <f t="shared" si="11"/>
        <v>5004339.5279153334</v>
      </c>
    </row>
    <row r="98" spans="2:11" x14ac:dyDescent="0.2">
      <c r="B98" s="751">
        <f t="shared" si="16"/>
        <v>57</v>
      </c>
      <c r="C98" s="482">
        <f t="shared" si="15"/>
        <v>64228813.705653585</v>
      </c>
      <c r="D98" s="482">
        <f t="shared" si="18"/>
        <v>836591.33150644321</v>
      </c>
      <c r="E98" s="483">
        <f t="shared" si="8"/>
        <v>4850892.1881097769</v>
      </c>
      <c r="F98" s="482">
        <f t="shared" si="9"/>
        <v>4014300.8566033337</v>
      </c>
      <c r="G98" s="482">
        <f t="shared" si="10"/>
        <v>60214512.849050254</v>
      </c>
      <c r="H98" s="707"/>
      <c r="I98" s="707"/>
      <c r="J98" s="707">
        <f t="shared" si="12"/>
        <v>101160.38158640401</v>
      </c>
      <c r="K98" s="708">
        <f t="shared" si="11"/>
        <v>4952052.5696961805</v>
      </c>
    </row>
    <row r="99" spans="2:11" x14ac:dyDescent="0.2">
      <c r="B99" s="751">
        <f t="shared" si="16"/>
        <v>58</v>
      </c>
      <c r="C99" s="482">
        <f t="shared" si="15"/>
        <v>60214512.849050254</v>
      </c>
      <c r="D99" s="482">
        <f t="shared" si="18"/>
        <v>784304.37328729068</v>
      </c>
      <c r="E99" s="483">
        <f t="shared" si="8"/>
        <v>4798605.2298906241</v>
      </c>
      <c r="F99" s="482">
        <f t="shared" si="9"/>
        <v>4014300.8566033337</v>
      </c>
      <c r="G99" s="482">
        <f t="shared" si="10"/>
        <v>56200211.992446922</v>
      </c>
      <c r="H99" s="707"/>
      <c r="I99" s="707"/>
      <c r="J99" s="707">
        <f t="shared" si="12"/>
        <v>101160.38158640401</v>
      </c>
      <c r="K99" s="708">
        <f t="shared" si="11"/>
        <v>4899765.6114770276</v>
      </c>
    </row>
    <row r="100" spans="2:11" x14ac:dyDescent="0.2">
      <c r="B100" s="751">
        <f t="shared" si="16"/>
        <v>59</v>
      </c>
      <c r="C100" s="482">
        <f t="shared" si="15"/>
        <v>56200211.992446922</v>
      </c>
      <c r="D100" s="482">
        <f t="shared" si="18"/>
        <v>732017.41506813827</v>
      </c>
      <c r="E100" s="483">
        <f t="shared" si="8"/>
        <v>4746318.2716714721</v>
      </c>
      <c r="F100" s="482">
        <f t="shared" si="9"/>
        <v>4014300.8566033337</v>
      </c>
      <c r="G100" s="482">
        <f t="shared" si="10"/>
        <v>52185911.13584359</v>
      </c>
      <c r="H100" s="707"/>
      <c r="I100" s="707"/>
      <c r="J100" s="707">
        <f t="shared" si="12"/>
        <v>101160.38158640401</v>
      </c>
      <c r="K100" s="708">
        <f t="shared" si="11"/>
        <v>4847478.6532578757</v>
      </c>
    </row>
    <row r="101" spans="2:11" x14ac:dyDescent="0.2">
      <c r="B101" s="751">
        <f t="shared" si="16"/>
        <v>60</v>
      </c>
      <c r="C101" s="482">
        <f t="shared" si="15"/>
        <v>52185911.13584359</v>
      </c>
      <c r="D101" s="482">
        <f t="shared" si="18"/>
        <v>679730.45684898575</v>
      </c>
      <c r="E101" s="483">
        <f t="shared" si="8"/>
        <v>4694031.3134523192</v>
      </c>
      <c r="F101" s="482">
        <f t="shared" si="9"/>
        <v>4014300.8566033337</v>
      </c>
      <c r="G101" s="482">
        <f t="shared" si="10"/>
        <v>48171610.279240258</v>
      </c>
      <c r="H101" s="707"/>
      <c r="I101" s="707"/>
      <c r="J101" s="707">
        <f t="shared" si="12"/>
        <v>101160.38158640401</v>
      </c>
      <c r="K101" s="708">
        <f t="shared" si="11"/>
        <v>4795191.6950387228</v>
      </c>
    </row>
    <row r="102" spans="2:11" x14ac:dyDescent="0.2">
      <c r="B102" s="751">
        <f t="shared" si="16"/>
        <v>61</v>
      </c>
      <c r="C102" s="482">
        <f t="shared" si="15"/>
        <v>48171610.279240258</v>
      </c>
      <c r="D102" s="482">
        <f>+IF($B102&lt;&gt;"",C102*$I$35,0)</f>
        <v>627443.49862983322</v>
      </c>
      <c r="E102" s="483">
        <f>IF($B102&lt;&gt;"",IF($B102&lt;=$C$38,$D102,D102+F102),0)</f>
        <v>4641744.3552331673</v>
      </c>
      <c r="F102" s="482">
        <f t="shared" si="9"/>
        <v>4014300.8566033337</v>
      </c>
      <c r="G102" s="482">
        <f t="shared" si="10"/>
        <v>44157309.422636926</v>
      </c>
      <c r="H102" s="707"/>
      <c r="I102" s="707"/>
      <c r="J102" s="707">
        <f t="shared" si="12"/>
        <v>101160.38158640401</v>
      </c>
      <c r="K102" s="708">
        <f t="shared" si="11"/>
        <v>4742904.7368195709</v>
      </c>
    </row>
    <row r="103" spans="2:11" x14ac:dyDescent="0.2">
      <c r="B103" s="751">
        <f t="shared" si="16"/>
        <v>62</v>
      </c>
      <c r="C103" s="482">
        <f t="shared" si="15"/>
        <v>44157309.422636926</v>
      </c>
      <c r="D103" s="482">
        <f t="shared" ref="D103:D113" si="19">+IF($B103&lt;&gt;"",C103*$I$35,0)</f>
        <v>575156.54041068081</v>
      </c>
      <c r="E103" s="483">
        <f t="shared" si="8"/>
        <v>4589457.3970140144</v>
      </c>
      <c r="F103" s="482">
        <f t="shared" si="9"/>
        <v>4014300.8566033337</v>
      </c>
      <c r="G103" s="482">
        <f t="shared" si="10"/>
        <v>40143008.566033594</v>
      </c>
      <c r="H103" s="707"/>
      <c r="I103" s="707"/>
      <c r="J103" s="707">
        <f t="shared" si="12"/>
        <v>101160.38158640401</v>
      </c>
      <c r="K103" s="708">
        <f t="shared" si="11"/>
        <v>4690617.778600418</v>
      </c>
    </row>
    <row r="104" spans="2:11" x14ac:dyDescent="0.2">
      <c r="B104" s="751">
        <f t="shared" si="16"/>
        <v>63</v>
      </c>
      <c r="C104" s="482">
        <f t="shared" si="15"/>
        <v>40143008.566033594</v>
      </c>
      <c r="D104" s="482">
        <f t="shared" si="19"/>
        <v>522869.58219152834</v>
      </c>
      <c r="E104" s="483">
        <f>IF($B104&lt;&gt;"",IF($B104&lt;=$C$38,$D104,D104+F104),0)</f>
        <v>4537170.4387948625</v>
      </c>
      <c r="F104" s="482">
        <f t="shared" si="9"/>
        <v>4014300.8566033337</v>
      </c>
      <c r="G104" s="482">
        <f t="shared" si="10"/>
        <v>36128707.709430262</v>
      </c>
      <c r="H104" s="707"/>
      <c r="I104" s="707"/>
      <c r="J104" s="707">
        <f t="shared" si="12"/>
        <v>101160.38158640401</v>
      </c>
      <c r="K104" s="708">
        <f t="shared" si="11"/>
        <v>4638330.8203812661</v>
      </c>
    </row>
    <row r="105" spans="2:11" x14ac:dyDescent="0.2">
      <c r="B105" s="751">
        <f t="shared" si="16"/>
        <v>64</v>
      </c>
      <c r="C105" s="482">
        <f t="shared" si="15"/>
        <v>36128707.709430262</v>
      </c>
      <c r="D105" s="482">
        <f t="shared" si="19"/>
        <v>470582.62397237588</v>
      </c>
      <c r="E105" s="483">
        <f t="shared" si="8"/>
        <v>4484883.4805757096</v>
      </c>
      <c r="F105" s="482">
        <f t="shared" si="9"/>
        <v>4014300.8566033337</v>
      </c>
      <c r="G105" s="482">
        <f t="shared" si="10"/>
        <v>32114406.852826931</v>
      </c>
      <c r="H105" s="707"/>
      <c r="I105" s="707"/>
      <c r="J105" s="707">
        <f t="shared" si="12"/>
        <v>101160.38158640401</v>
      </c>
      <c r="K105" s="708">
        <f t="shared" si="11"/>
        <v>4586043.8621621132</v>
      </c>
    </row>
    <row r="106" spans="2:11" x14ac:dyDescent="0.2">
      <c r="B106" s="751">
        <f t="shared" si="16"/>
        <v>65</v>
      </c>
      <c r="C106" s="482">
        <f t="shared" ref="C106:C113" si="20">IF($B106&lt;&gt;"",G105,"")</f>
        <v>32114406.852826931</v>
      </c>
      <c r="D106" s="482">
        <f t="shared" si="19"/>
        <v>418295.66575322335</v>
      </c>
      <c r="E106" s="483">
        <f t="shared" si="8"/>
        <v>4432596.5223565567</v>
      </c>
      <c r="F106" s="482">
        <f t="shared" si="9"/>
        <v>4014300.8566033337</v>
      </c>
      <c r="G106" s="482">
        <f t="shared" si="10"/>
        <v>28100105.996223599</v>
      </c>
      <c r="H106" s="707"/>
      <c r="I106" s="707"/>
      <c r="J106" s="707">
        <f t="shared" si="12"/>
        <v>101160.38158640401</v>
      </c>
      <c r="K106" s="708">
        <f t="shared" si="11"/>
        <v>4533756.9039429603</v>
      </c>
    </row>
    <row r="107" spans="2:11" x14ac:dyDescent="0.2">
      <c r="B107" s="751">
        <f t="shared" ref="B107:B113" si="21">+IF(B106&lt;&gt;"",IF($C$37&gt;B106,B106+1,""),"")</f>
        <v>66</v>
      </c>
      <c r="C107" s="482">
        <f t="shared" si="20"/>
        <v>28100105.996223599</v>
      </c>
      <c r="D107" s="482">
        <f t="shared" si="19"/>
        <v>366008.70753407088</v>
      </c>
      <c r="E107" s="483">
        <f t="shared" ref="E107:E113" si="22">IF($B107&lt;&gt;"",IF($B107&lt;=$C$38,$D107,D107+F107),0)</f>
        <v>4380309.5641374048</v>
      </c>
      <c r="F107" s="482">
        <f t="shared" ref="F107:F113" si="23">IF($B107&lt;&gt;"",IF($B107&lt;=$C$38,0,$G$41/($C$37-$C$38)),0)</f>
        <v>4014300.8566033337</v>
      </c>
      <c r="G107" s="482">
        <f t="shared" ref="G107:G113" si="24">IF($B107&lt;&gt;"",C107-F107,0)</f>
        <v>24085805.139620267</v>
      </c>
      <c r="H107" s="707"/>
      <c r="I107" s="707"/>
      <c r="J107" s="707">
        <f t="shared" si="12"/>
        <v>101160.38158640401</v>
      </c>
      <c r="K107" s="708">
        <f t="shared" ref="K107:K113" si="25">E107+H107+I107+J107</f>
        <v>4481469.9457238084</v>
      </c>
    </row>
    <row r="108" spans="2:11" x14ac:dyDescent="0.2">
      <c r="B108" s="751">
        <f t="shared" si="21"/>
        <v>67</v>
      </c>
      <c r="C108" s="482">
        <f t="shared" si="20"/>
        <v>24085805.139620267</v>
      </c>
      <c r="D108" s="482">
        <f t="shared" si="19"/>
        <v>313721.74931491842</v>
      </c>
      <c r="E108" s="483">
        <f>IF($B108&lt;&gt;"",IF($B108&lt;=$C$38,$D108,D108+F108),0)</f>
        <v>4328022.6059182519</v>
      </c>
      <c r="F108" s="482">
        <f t="shared" si="23"/>
        <v>4014300.8566033337</v>
      </c>
      <c r="G108" s="482">
        <f t="shared" si="24"/>
        <v>20071504.283016935</v>
      </c>
      <c r="H108" s="707"/>
      <c r="I108" s="707"/>
      <c r="J108" s="707">
        <f t="shared" ref="J108:J113" si="26">IF(E108&gt;0,J107,0)</f>
        <v>101160.38158640401</v>
      </c>
      <c r="K108" s="708">
        <f t="shared" si="25"/>
        <v>4429182.9875046555</v>
      </c>
    </row>
    <row r="109" spans="2:11" x14ac:dyDescent="0.2">
      <c r="B109" s="751">
        <f t="shared" si="21"/>
        <v>68</v>
      </c>
      <c r="C109" s="482">
        <f t="shared" si="20"/>
        <v>20071504.283016935</v>
      </c>
      <c r="D109" s="482">
        <f t="shared" si="19"/>
        <v>261434.79109576595</v>
      </c>
      <c r="E109" s="483">
        <f t="shared" si="22"/>
        <v>4275735.6476991</v>
      </c>
      <c r="F109" s="482">
        <f t="shared" si="23"/>
        <v>4014300.8566033337</v>
      </c>
      <c r="G109" s="482">
        <f t="shared" si="24"/>
        <v>16057203.426413601</v>
      </c>
      <c r="H109" s="707"/>
      <c r="I109" s="707"/>
      <c r="J109" s="707">
        <f t="shared" si="26"/>
        <v>101160.38158640401</v>
      </c>
      <c r="K109" s="708">
        <f t="shared" si="25"/>
        <v>4376896.0292855036</v>
      </c>
    </row>
    <row r="110" spans="2:11" x14ac:dyDescent="0.2">
      <c r="B110" s="751">
        <f t="shared" si="21"/>
        <v>69</v>
      </c>
      <c r="C110" s="482">
        <f t="shared" si="20"/>
        <v>16057203.426413601</v>
      </c>
      <c r="D110" s="482">
        <f t="shared" si="19"/>
        <v>209147.83287661345</v>
      </c>
      <c r="E110" s="483">
        <f t="shared" si="22"/>
        <v>4223448.6894799471</v>
      </c>
      <c r="F110" s="482">
        <f t="shared" si="23"/>
        <v>4014300.8566033337</v>
      </c>
      <c r="G110" s="482">
        <f t="shared" si="24"/>
        <v>12042902.569810268</v>
      </c>
      <c r="H110" s="707"/>
      <c r="I110" s="707"/>
      <c r="J110" s="707">
        <f t="shared" si="26"/>
        <v>101160.38158640401</v>
      </c>
      <c r="K110" s="708">
        <f t="shared" si="25"/>
        <v>4324609.0710663507</v>
      </c>
    </row>
    <row r="111" spans="2:11" x14ac:dyDescent="0.2">
      <c r="B111" s="751">
        <f t="shared" si="21"/>
        <v>70</v>
      </c>
      <c r="C111" s="482">
        <f t="shared" si="20"/>
        <v>12042902.569810268</v>
      </c>
      <c r="D111" s="482">
        <f t="shared" si="19"/>
        <v>156860.87465746095</v>
      </c>
      <c r="E111" s="483">
        <f t="shared" si="22"/>
        <v>4171161.7312607947</v>
      </c>
      <c r="F111" s="482">
        <f t="shared" si="23"/>
        <v>4014300.8566033337</v>
      </c>
      <c r="G111" s="482">
        <f t="shared" si="24"/>
        <v>8028601.7132069338</v>
      </c>
      <c r="H111" s="707"/>
      <c r="I111" s="707"/>
      <c r="J111" s="707">
        <f t="shared" si="26"/>
        <v>101160.38158640401</v>
      </c>
      <c r="K111" s="708">
        <f t="shared" si="25"/>
        <v>4272322.1128471987</v>
      </c>
    </row>
    <row r="112" spans="2:11" x14ac:dyDescent="0.2">
      <c r="B112" s="751">
        <f t="shared" si="21"/>
        <v>71</v>
      </c>
      <c r="C112" s="482">
        <f t="shared" si="20"/>
        <v>8028601.7132069338</v>
      </c>
      <c r="D112" s="482">
        <f t="shared" si="19"/>
        <v>104573.91643830847</v>
      </c>
      <c r="E112" s="483">
        <f t="shared" si="22"/>
        <v>4118874.7730416423</v>
      </c>
      <c r="F112" s="482">
        <f t="shared" si="23"/>
        <v>4014300.8566033337</v>
      </c>
      <c r="G112" s="482">
        <f t="shared" si="24"/>
        <v>4014300.8566036001</v>
      </c>
      <c r="H112" s="707"/>
      <c r="I112" s="707"/>
      <c r="J112" s="707">
        <f t="shared" si="26"/>
        <v>101160.38158640401</v>
      </c>
      <c r="K112" s="708">
        <f t="shared" si="25"/>
        <v>4220035.1546280459</v>
      </c>
    </row>
    <row r="113" spans="2:14" x14ac:dyDescent="0.2">
      <c r="B113" s="751">
        <f t="shared" si="21"/>
        <v>72</v>
      </c>
      <c r="C113" s="482">
        <f t="shared" si="20"/>
        <v>4014300.8566036001</v>
      </c>
      <c r="D113" s="482">
        <f t="shared" si="19"/>
        <v>52286.958219155968</v>
      </c>
      <c r="E113" s="483">
        <f t="shared" si="22"/>
        <v>4066587.8148224899</v>
      </c>
      <c r="F113" s="482">
        <f t="shared" si="23"/>
        <v>4014300.8566033337</v>
      </c>
      <c r="G113" s="482">
        <f t="shared" si="24"/>
        <v>2.6635825634002686E-7</v>
      </c>
      <c r="H113" s="709"/>
      <c r="I113" s="709"/>
      <c r="J113" s="707">
        <f t="shared" si="26"/>
        <v>101160.38158640401</v>
      </c>
      <c r="K113" s="710">
        <f t="shared" si="25"/>
        <v>4167748.1964088939</v>
      </c>
    </row>
    <row r="114" spans="2:14" x14ac:dyDescent="0.2">
      <c r="B114" s="484"/>
      <c r="C114" s="485"/>
      <c r="D114" s="485"/>
      <c r="E114" s="486"/>
      <c r="F114" s="485"/>
      <c r="G114" s="485"/>
      <c r="H114" s="470"/>
      <c r="I114" s="470"/>
      <c r="J114" s="472"/>
    </row>
    <row r="115" spans="2:14" x14ac:dyDescent="0.2">
      <c r="B115" s="484"/>
      <c r="C115" s="467">
        <v>1</v>
      </c>
      <c r="D115" s="467">
        <v>2</v>
      </c>
      <c r="E115" s="486"/>
      <c r="F115" s="485"/>
      <c r="G115" s="485"/>
      <c r="H115" s="470"/>
      <c r="I115" s="470"/>
      <c r="J115" s="472"/>
    </row>
    <row r="116" spans="2:14" x14ac:dyDescent="0.2">
      <c r="B116" s="487" t="s">
        <v>371</v>
      </c>
      <c r="C116" s="485"/>
      <c r="D116" s="485"/>
      <c r="E116" s="486"/>
      <c r="F116" s="485"/>
      <c r="G116" s="485"/>
      <c r="H116" s="470"/>
      <c r="I116" s="470"/>
      <c r="J116" s="472"/>
    </row>
    <row r="117" spans="2:14" x14ac:dyDescent="0.2">
      <c r="B117" s="484"/>
      <c r="C117" s="485"/>
      <c r="D117" s="485"/>
      <c r="E117" s="486"/>
      <c r="F117" s="485"/>
      <c r="G117" s="485"/>
      <c r="H117" s="470"/>
      <c r="I117" s="470"/>
      <c r="J117" s="472"/>
    </row>
    <row r="118" spans="2:14" x14ac:dyDescent="0.2">
      <c r="B118" s="466"/>
      <c r="C118" s="466"/>
      <c r="D118" s="466"/>
      <c r="E118" s="466"/>
      <c r="F118" s="465"/>
      <c r="I118" s="472"/>
      <c r="J118" s="472"/>
    </row>
    <row r="119" spans="2:14" x14ac:dyDescent="0.2">
      <c r="B119" s="488" t="s">
        <v>369</v>
      </c>
      <c r="C119" s="489"/>
      <c r="D119" s="490"/>
      <c r="E119" s="490"/>
      <c r="F119" s="490"/>
      <c r="G119" s="491"/>
      <c r="H119" s="491"/>
      <c r="I119" s="491"/>
      <c r="J119" s="491"/>
      <c r="K119" s="491"/>
      <c r="L119" s="491"/>
      <c r="M119" s="491"/>
      <c r="N119" s="491"/>
    </row>
    <row r="120" spans="2:14" x14ac:dyDescent="0.2">
      <c r="B120" s="492" t="s">
        <v>394</v>
      </c>
      <c r="C120" s="492" t="s">
        <v>203</v>
      </c>
      <c r="D120" s="492" t="s">
        <v>49</v>
      </c>
      <c r="E120" s="113" t="s">
        <v>9</v>
      </c>
      <c r="F120" s="492" t="s">
        <v>204</v>
      </c>
      <c r="G120" s="492" t="s">
        <v>50</v>
      </c>
      <c r="H120" s="124"/>
      <c r="I120" s="124" t="s">
        <v>325</v>
      </c>
      <c r="J120" s="124" t="s">
        <v>326</v>
      </c>
      <c r="K120" s="124" t="s">
        <v>327</v>
      </c>
      <c r="L120" s="124" t="s">
        <v>328</v>
      </c>
      <c r="M120" s="124" t="s">
        <v>329</v>
      </c>
      <c r="N120" s="124" t="s">
        <v>393</v>
      </c>
    </row>
    <row r="121" spans="2:14" x14ac:dyDescent="0.2">
      <c r="B121" s="124">
        <v>1</v>
      </c>
      <c r="C121" s="493">
        <f>+IF(BANCOS!$D$104&lt;0,-BANCOS!$D$104,0)</f>
        <v>0</v>
      </c>
      <c r="D121" s="118">
        <v>1</v>
      </c>
      <c r="E121" s="494">
        <f>Supuestos!E35</f>
        <v>0</v>
      </c>
      <c r="F121" s="494">
        <v>0.05</v>
      </c>
      <c r="G121" s="495" t="s">
        <v>51</v>
      </c>
      <c r="H121" s="138"/>
      <c r="I121" s="495">
        <f t="shared" ref="I121:N121" si="27">IF(I125&gt;0,PPMT($E$121+$F$121,I124,$D$121,$C$121,0),0)</f>
        <v>0</v>
      </c>
      <c r="J121" s="495">
        <f t="shared" si="27"/>
        <v>0</v>
      </c>
      <c r="K121" s="495">
        <f t="shared" si="27"/>
        <v>0</v>
      </c>
      <c r="L121" s="495">
        <f t="shared" si="27"/>
        <v>0</v>
      </c>
      <c r="M121" s="495">
        <f t="shared" si="27"/>
        <v>0</v>
      </c>
      <c r="N121" s="495">
        <f t="shared" si="27"/>
        <v>0</v>
      </c>
    </row>
    <row r="122" spans="2:14" x14ac:dyDescent="0.2">
      <c r="B122" s="124"/>
      <c r="C122" s="496"/>
      <c r="D122" s="118"/>
      <c r="E122" s="118"/>
      <c r="F122" s="118"/>
      <c r="G122" s="495" t="s">
        <v>110</v>
      </c>
      <c r="H122" s="138"/>
      <c r="I122" s="495">
        <f t="shared" ref="I122:N122" si="28">IF(I125&gt;0,IPMT($E$121+$F$121,I125,$D$121,$C$121,0),0)</f>
        <v>0</v>
      </c>
      <c r="J122" s="495">
        <f t="shared" si="28"/>
        <v>0</v>
      </c>
      <c r="K122" s="495">
        <f t="shared" si="28"/>
        <v>0</v>
      </c>
      <c r="L122" s="495">
        <f t="shared" si="28"/>
        <v>0</v>
      </c>
      <c r="M122" s="495">
        <f t="shared" si="28"/>
        <v>0</v>
      </c>
      <c r="N122" s="495">
        <f t="shared" si="28"/>
        <v>0</v>
      </c>
    </row>
    <row r="123" spans="2:14" x14ac:dyDescent="0.2">
      <c r="B123" s="124"/>
      <c r="C123" s="496"/>
      <c r="D123" s="118"/>
      <c r="E123" s="118"/>
      <c r="F123" s="118"/>
      <c r="G123" s="495" t="s">
        <v>52</v>
      </c>
      <c r="H123" s="497"/>
      <c r="I123" s="495">
        <f>C121+I121</f>
        <v>0</v>
      </c>
      <c r="J123" s="495">
        <f>I123+J121</f>
        <v>0</v>
      </c>
      <c r="K123" s="495">
        <f>J123+K121</f>
        <v>0</v>
      </c>
      <c r="L123" s="495">
        <f>K123+L121</f>
        <v>0</v>
      </c>
      <c r="M123" s="495">
        <f>L123+M121</f>
        <v>0</v>
      </c>
      <c r="N123" s="495">
        <f>M123+N121</f>
        <v>0</v>
      </c>
    </row>
    <row r="124" spans="2:14" x14ac:dyDescent="0.2">
      <c r="B124" s="124"/>
      <c r="C124" s="496"/>
      <c r="D124" s="118"/>
      <c r="E124" s="118"/>
      <c r="F124" s="118"/>
      <c r="G124" s="498" t="s">
        <v>53</v>
      </c>
      <c r="H124" s="497"/>
      <c r="I124" s="499">
        <v>1</v>
      </c>
      <c r="J124" s="499">
        <v>2</v>
      </c>
      <c r="K124" s="499">
        <v>3</v>
      </c>
      <c r="L124" s="499">
        <v>4</v>
      </c>
      <c r="M124" s="499">
        <v>5</v>
      </c>
      <c r="N124" s="499">
        <v>6</v>
      </c>
    </row>
    <row r="125" spans="2:14" x14ac:dyDescent="0.2">
      <c r="B125" s="124"/>
      <c r="C125" s="496"/>
      <c r="D125" s="118"/>
      <c r="E125" s="118"/>
      <c r="F125" s="118"/>
      <c r="G125" s="495" t="s">
        <v>54</v>
      </c>
      <c r="H125" s="497"/>
      <c r="I125" s="499">
        <f t="shared" ref="I125:N125" si="29">IF($D121&gt;=I124,I124,0)</f>
        <v>1</v>
      </c>
      <c r="J125" s="499">
        <f t="shared" si="29"/>
        <v>0</v>
      </c>
      <c r="K125" s="499">
        <f t="shared" si="29"/>
        <v>0</v>
      </c>
      <c r="L125" s="499">
        <f t="shared" si="29"/>
        <v>0</v>
      </c>
      <c r="M125" s="499">
        <f t="shared" si="29"/>
        <v>0</v>
      </c>
      <c r="N125" s="499">
        <f t="shared" si="29"/>
        <v>0</v>
      </c>
    </row>
    <row r="126" spans="2:14" x14ac:dyDescent="0.2">
      <c r="B126" s="124">
        <v>2</v>
      </c>
      <c r="C126" s="493">
        <f>+IF(BANCOS!$E$104&lt;0,-BANCOS!$E$104,0)</f>
        <v>0</v>
      </c>
      <c r="D126" s="118">
        <v>1</v>
      </c>
      <c r="E126" s="494">
        <f>Supuestos!F35</f>
        <v>0</v>
      </c>
      <c r="F126" s="494">
        <v>0.05</v>
      </c>
      <c r="G126" s="495" t="s">
        <v>51</v>
      </c>
      <c r="H126" s="138"/>
      <c r="I126" s="138"/>
      <c r="J126" s="495">
        <f>IF(J130&gt;0,PPMT($E$126+$F$126,J129,$D$126,$C$126,0),0)</f>
        <v>0</v>
      </c>
      <c r="K126" s="495">
        <f>IF(K130&gt;0,PPMT($E$126+$F$126,K129,$D$126,$C$126,0),0)</f>
        <v>0</v>
      </c>
      <c r="L126" s="495">
        <f>IF(L130&gt;0,PPMT($E$126+$F$126,L129,$D$126,$C$126,0),0)</f>
        <v>0</v>
      </c>
      <c r="M126" s="495">
        <f>IF(M130&gt;0,PPMT($E$126+$F$126,M129,$D$126,$C$126,0),0)</f>
        <v>0</v>
      </c>
      <c r="N126" s="495">
        <f>IF(N130&gt;0,PPMT($E$126+$F$126,N129,$D$126,$C$126,0),0)</f>
        <v>0</v>
      </c>
    </row>
    <row r="127" spans="2:14" x14ac:dyDescent="0.2">
      <c r="B127" s="124"/>
      <c r="C127" s="496"/>
      <c r="D127" s="118"/>
      <c r="E127" s="118"/>
      <c r="F127" s="118"/>
      <c r="G127" s="495" t="s">
        <v>110</v>
      </c>
      <c r="H127" s="138"/>
      <c r="I127" s="138"/>
      <c r="J127" s="495">
        <f>IF(J130&gt;0,IPMT($E$126+$F$126,J130,$D$126,$C$126,0),0)</f>
        <v>0</v>
      </c>
      <c r="K127" s="495">
        <f>IF(K130&gt;0,IPMT($E$126+$F$126,K130,$D$126,$C$126,0),0)</f>
        <v>0</v>
      </c>
      <c r="L127" s="495">
        <f>IF(L130&gt;0,IPMT($E$126+$F$126,L130,$D$126,$C$126,0),0)</f>
        <v>0</v>
      </c>
      <c r="M127" s="495">
        <f>IF(M130&gt;0,IPMT($E$126+$F$126,M130,$D$126,$C$126,0),0)</f>
        <v>0</v>
      </c>
      <c r="N127" s="495">
        <f>IF(N130&gt;0,IPMT($E$126+$F$126,N130,$D$126,$C$126,0),0)</f>
        <v>0</v>
      </c>
    </row>
    <row r="128" spans="2:14" x14ac:dyDescent="0.2">
      <c r="B128" s="124"/>
      <c r="C128" s="496"/>
      <c r="D128" s="118"/>
      <c r="E128" s="118"/>
      <c r="F128" s="118"/>
      <c r="G128" s="495" t="s">
        <v>52</v>
      </c>
      <c r="H128" s="497"/>
      <c r="I128" s="497"/>
      <c r="J128" s="495">
        <f>C126+J126</f>
        <v>0</v>
      </c>
      <c r="K128" s="495">
        <f>J128+K126</f>
        <v>0</v>
      </c>
      <c r="L128" s="495">
        <f>K128+L126</f>
        <v>0</v>
      </c>
      <c r="M128" s="495">
        <f>L128+M126</f>
        <v>0</v>
      </c>
      <c r="N128" s="495">
        <f>M128+N126</f>
        <v>0</v>
      </c>
    </row>
    <row r="129" spans="2:14" x14ac:dyDescent="0.2">
      <c r="B129" s="124"/>
      <c r="C129" s="496"/>
      <c r="D129" s="118"/>
      <c r="E129" s="118"/>
      <c r="F129" s="118"/>
      <c r="G129" s="498" t="s">
        <v>53</v>
      </c>
      <c r="H129" s="497"/>
      <c r="I129" s="138"/>
      <c r="J129" s="499">
        <v>1</v>
      </c>
      <c r="K129" s="499">
        <v>2</v>
      </c>
      <c r="L129" s="499">
        <v>3</v>
      </c>
      <c r="M129" s="499">
        <v>4</v>
      </c>
      <c r="N129" s="499">
        <v>5</v>
      </c>
    </row>
    <row r="130" spans="2:14" x14ac:dyDescent="0.2">
      <c r="B130" s="124"/>
      <c r="C130" s="496"/>
      <c r="D130" s="118"/>
      <c r="E130" s="118"/>
      <c r="F130" s="118"/>
      <c r="G130" s="495" t="s">
        <v>54</v>
      </c>
      <c r="H130" s="497"/>
      <c r="I130" s="138"/>
      <c r="J130" s="499">
        <f>IF($D126&gt;=J129,J129,0)</f>
        <v>1</v>
      </c>
      <c r="K130" s="499">
        <f>IF($D126&gt;=K129,K129,0)</f>
        <v>0</v>
      </c>
      <c r="L130" s="499">
        <f>IF($D126&gt;=L129,L129,0)</f>
        <v>0</v>
      </c>
      <c r="M130" s="499">
        <f>IF($D126&gt;=M129,M129,0)</f>
        <v>0</v>
      </c>
      <c r="N130" s="499">
        <f>IF($D126&gt;=N129,N129,0)</f>
        <v>0</v>
      </c>
    </row>
    <row r="131" spans="2:14" x14ac:dyDescent="0.2">
      <c r="B131" s="124">
        <v>3</v>
      </c>
      <c r="C131" s="493">
        <f>+IF(BANCOS!$F$104&lt;0,-BANCOS!$F$104,0)</f>
        <v>0</v>
      </c>
      <c r="D131" s="118">
        <v>1</v>
      </c>
      <c r="E131" s="494">
        <v>0.08</v>
      </c>
      <c r="F131" s="494">
        <v>0.05</v>
      </c>
      <c r="G131" s="495" t="s">
        <v>51</v>
      </c>
      <c r="H131" s="138"/>
      <c r="I131" s="138"/>
      <c r="J131" s="138"/>
      <c r="K131" s="495">
        <f>IF(K135&gt;0,PPMT($E$131+$F$131,K134,$D$131,$C$131,0),0)</f>
        <v>0</v>
      </c>
      <c r="L131" s="495">
        <f>IF(L135&gt;0,PPMT($E$131+$F$131,L134,$D$131,$C$131,0),0)</f>
        <v>0</v>
      </c>
      <c r="M131" s="495">
        <f>IF(M135&gt;0,PPMT($E$131+$F$131,M134,$D$131,$C$131,0),0)</f>
        <v>0</v>
      </c>
      <c r="N131" s="495">
        <f>IF(N135&gt;0,PPMT($E$131+$F$131,N134,$D$131,$C$131,0),0)</f>
        <v>0</v>
      </c>
    </row>
    <row r="132" spans="2:14" x14ac:dyDescent="0.2">
      <c r="B132" s="124"/>
      <c r="C132" s="496"/>
      <c r="D132" s="118"/>
      <c r="E132" s="118"/>
      <c r="F132" s="118"/>
      <c r="G132" s="495" t="s">
        <v>110</v>
      </c>
      <c r="H132" s="138"/>
      <c r="I132" s="138"/>
      <c r="J132" s="138"/>
      <c r="K132" s="495">
        <f>IF(K135&gt;0,IPMT($E$131+$F$131,K135,$D$131,$C$131,0),0)</f>
        <v>0</v>
      </c>
      <c r="L132" s="495">
        <f>IF(L135&gt;0,IPMT($E$131+$F$131,L135,$D$131,$C$131,0),0)</f>
        <v>0</v>
      </c>
      <c r="M132" s="495">
        <f>IF(M135&gt;0,IPMT($E$131+$F$131,M135,$D$131,$C$131,0),0)</f>
        <v>0</v>
      </c>
      <c r="N132" s="495">
        <f>IF(N135&gt;0,IPMT($E$131+$F$131,N135,$D$131,$C$131,0),0)</f>
        <v>0</v>
      </c>
    </row>
    <row r="133" spans="2:14" x14ac:dyDescent="0.2">
      <c r="B133" s="124"/>
      <c r="C133" s="496"/>
      <c r="D133" s="118"/>
      <c r="E133" s="118"/>
      <c r="F133" s="118"/>
      <c r="G133" s="495" t="s">
        <v>52</v>
      </c>
      <c r="H133" s="138"/>
      <c r="I133" s="138"/>
      <c r="J133" s="138"/>
      <c r="K133" s="495">
        <f>C131+K131</f>
        <v>0</v>
      </c>
      <c r="L133" s="495">
        <f>K133+L131</f>
        <v>0</v>
      </c>
      <c r="M133" s="495">
        <f>L133+M131</f>
        <v>0</v>
      </c>
      <c r="N133" s="495">
        <f>M133+N131</f>
        <v>0</v>
      </c>
    </row>
    <row r="134" spans="2:14" x14ac:dyDescent="0.2">
      <c r="B134" s="124"/>
      <c r="C134" s="496"/>
      <c r="D134" s="118"/>
      <c r="E134" s="118"/>
      <c r="F134" s="118"/>
      <c r="G134" s="498" t="s">
        <v>53</v>
      </c>
      <c r="H134" s="497"/>
      <c r="I134" s="138"/>
      <c r="J134" s="138"/>
      <c r="K134" s="499">
        <v>1</v>
      </c>
      <c r="L134" s="499">
        <v>2</v>
      </c>
      <c r="M134" s="499">
        <v>3</v>
      </c>
      <c r="N134" s="499">
        <v>4</v>
      </c>
    </row>
    <row r="135" spans="2:14" x14ac:dyDescent="0.2">
      <c r="B135" s="124"/>
      <c r="C135" s="496"/>
      <c r="D135" s="118"/>
      <c r="E135" s="118"/>
      <c r="F135" s="118"/>
      <c r="G135" s="495" t="s">
        <v>54</v>
      </c>
      <c r="H135" s="497"/>
      <c r="I135" s="138"/>
      <c r="J135" s="138"/>
      <c r="K135" s="499">
        <f>IF($D131&gt;=K134,K134,0)</f>
        <v>1</v>
      </c>
      <c r="L135" s="499">
        <f>IF($D131&gt;=L134,L134,0)</f>
        <v>0</v>
      </c>
      <c r="M135" s="499">
        <f>IF($D131&gt;=M134,M134,0)</f>
        <v>0</v>
      </c>
      <c r="N135" s="499">
        <f>IF($D131&gt;=N134,N134,0)</f>
        <v>0</v>
      </c>
    </row>
    <row r="136" spans="2:14" x14ac:dyDescent="0.2">
      <c r="B136" s="124">
        <v>4</v>
      </c>
      <c r="C136" s="493">
        <f>+IF(BANCOS!$G$104&lt;0,-BANCOS!$G$104,0)</f>
        <v>0</v>
      </c>
      <c r="D136" s="118">
        <v>1</v>
      </c>
      <c r="E136" s="494">
        <v>0.08</v>
      </c>
      <c r="F136" s="494">
        <v>0.05</v>
      </c>
      <c r="G136" s="495" t="s">
        <v>51</v>
      </c>
      <c r="H136" s="138"/>
      <c r="I136" s="138"/>
      <c r="J136" s="138"/>
      <c r="K136" s="138"/>
      <c r="L136" s="495">
        <f>IF(L140&gt;0,PPMT($E$136+$F$136,L139,$D$136,$C$136,0),0)</f>
        <v>0</v>
      </c>
      <c r="M136" s="495">
        <f>IF(M140&gt;0,PPMT($E$136+$F$136,M139,$D$136,$C$136,0),0)</f>
        <v>0</v>
      </c>
      <c r="N136" s="495">
        <f>IF(N140&gt;0,PPMT($E$136+$F$136,N139,$D$136,$C$136,0),0)</f>
        <v>0</v>
      </c>
    </row>
    <row r="137" spans="2:14" x14ac:dyDescent="0.2">
      <c r="B137" s="124"/>
      <c r="C137" s="496"/>
      <c r="D137" s="118"/>
      <c r="E137" s="118"/>
      <c r="F137" s="118"/>
      <c r="G137" s="495" t="s">
        <v>110</v>
      </c>
      <c r="H137" s="138"/>
      <c r="I137" s="138"/>
      <c r="J137" s="138"/>
      <c r="K137" s="138"/>
      <c r="L137" s="495">
        <f>IF(L140&gt;0,IPMT($E$136+$F$136,L140,$D$136,$C$136,0),0)</f>
        <v>0</v>
      </c>
      <c r="M137" s="495">
        <f>IF(M140&gt;0,IPMT($E$136+$F$136,M140,$D$136,$C$136,0),0)</f>
        <v>0</v>
      </c>
      <c r="N137" s="495">
        <f>IF(N140&gt;0,IPMT($E$136+$F$136,N140,$D$136,$C$136,0),0)</f>
        <v>0</v>
      </c>
    </row>
    <row r="138" spans="2:14" x14ac:dyDescent="0.2">
      <c r="B138" s="124"/>
      <c r="C138" s="496"/>
      <c r="D138" s="118"/>
      <c r="E138" s="118"/>
      <c r="F138" s="118"/>
      <c r="G138" s="495" t="s">
        <v>52</v>
      </c>
      <c r="H138" s="497"/>
      <c r="I138" s="497"/>
      <c r="J138" s="497"/>
      <c r="K138" s="497"/>
      <c r="L138" s="495">
        <f>C136+L136</f>
        <v>0</v>
      </c>
      <c r="M138" s="495">
        <f>L138+M136</f>
        <v>0</v>
      </c>
      <c r="N138" s="495">
        <f>M138+N136</f>
        <v>0</v>
      </c>
    </row>
    <row r="139" spans="2:14" x14ac:dyDescent="0.2">
      <c r="B139" s="124"/>
      <c r="C139" s="496"/>
      <c r="D139" s="118"/>
      <c r="E139" s="118"/>
      <c r="F139" s="118"/>
      <c r="G139" s="498" t="s">
        <v>53</v>
      </c>
      <c r="H139" s="497"/>
      <c r="I139" s="138"/>
      <c r="J139" s="138"/>
      <c r="K139" s="496"/>
      <c r="L139" s="499">
        <v>1</v>
      </c>
      <c r="M139" s="499">
        <v>2</v>
      </c>
      <c r="N139" s="499">
        <v>3</v>
      </c>
    </row>
    <row r="140" spans="2:14" x14ac:dyDescent="0.2">
      <c r="B140" s="124"/>
      <c r="C140" s="496"/>
      <c r="D140" s="118"/>
      <c r="E140" s="118"/>
      <c r="F140" s="118"/>
      <c r="G140" s="495" t="s">
        <v>54</v>
      </c>
      <c r="H140" s="497"/>
      <c r="I140" s="138"/>
      <c r="J140" s="138"/>
      <c r="K140" s="496"/>
      <c r="L140" s="499">
        <f>IF($D136&gt;=L139,L139,0)</f>
        <v>1</v>
      </c>
      <c r="M140" s="499">
        <f>IF($D136&gt;=M139,M139,0)</f>
        <v>0</v>
      </c>
      <c r="N140" s="499">
        <f>IF($D136&gt;=N139,N139,0)</f>
        <v>0</v>
      </c>
    </row>
    <row r="141" spans="2:14" x14ac:dyDescent="0.2">
      <c r="B141" s="124">
        <v>5</v>
      </c>
      <c r="C141" s="493">
        <f>+IF(BANCOS!$H$104&lt;0,-BANCOS!$H$104,0)</f>
        <v>0</v>
      </c>
      <c r="D141" s="118">
        <v>1</v>
      </c>
      <c r="E141" s="494">
        <v>0.08</v>
      </c>
      <c r="F141" s="494">
        <v>0.05</v>
      </c>
      <c r="G141" s="495" t="s">
        <v>51</v>
      </c>
      <c r="H141" s="138"/>
      <c r="I141" s="138"/>
      <c r="J141" s="138"/>
      <c r="K141" s="138"/>
      <c r="L141" s="138"/>
      <c r="M141" s="495">
        <f>IF(M145&gt;0,PPMT($E$141+$F$141,M144,$D$141,$C$141,0),0)</f>
        <v>0</v>
      </c>
      <c r="N141" s="495">
        <f>IF(N145&gt;0,PPMT($E$141+$F$141,N144,$D$141,$C$141,0),0)</f>
        <v>0</v>
      </c>
    </row>
    <row r="142" spans="2:14" x14ac:dyDescent="0.2">
      <c r="B142" s="124"/>
      <c r="C142" s="496"/>
      <c r="D142" s="118"/>
      <c r="E142" s="118"/>
      <c r="F142" s="118"/>
      <c r="G142" s="495" t="s">
        <v>110</v>
      </c>
      <c r="H142" s="138"/>
      <c r="I142" s="138"/>
      <c r="J142" s="138"/>
      <c r="K142" s="138"/>
      <c r="L142" s="138"/>
      <c r="M142" s="495">
        <f>IF(M145&gt;0,IPMT($E$141+$F$141,M145,$D$141,$C$141,0),0)</f>
        <v>0</v>
      </c>
      <c r="N142" s="495">
        <f>IF(N145&gt;0,IPMT($E$141+$F$141,N145,$D$141,$C$141,0),0)</f>
        <v>0</v>
      </c>
    </row>
    <row r="143" spans="2:14" x14ac:dyDescent="0.2">
      <c r="B143" s="124"/>
      <c r="C143" s="496"/>
      <c r="D143" s="118"/>
      <c r="E143" s="118"/>
      <c r="F143" s="118"/>
      <c r="G143" s="495" t="s">
        <v>52</v>
      </c>
      <c r="H143" s="497"/>
      <c r="I143" s="497"/>
      <c r="J143" s="497"/>
      <c r="K143" s="497"/>
      <c r="L143" s="497"/>
      <c r="M143" s="495">
        <f>C141+M141</f>
        <v>0</v>
      </c>
      <c r="N143" s="495">
        <f>C141+N141</f>
        <v>0</v>
      </c>
    </row>
    <row r="144" spans="2:14" x14ac:dyDescent="0.2">
      <c r="B144" s="124"/>
      <c r="C144" s="496"/>
      <c r="D144" s="118"/>
      <c r="E144" s="118"/>
      <c r="F144" s="118"/>
      <c r="G144" s="498" t="s">
        <v>53</v>
      </c>
      <c r="H144" s="497"/>
      <c r="I144" s="138"/>
      <c r="J144" s="138"/>
      <c r="K144" s="496"/>
      <c r="L144" s="138"/>
      <c r="M144" s="499">
        <v>1</v>
      </c>
      <c r="N144" s="499">
        <v>1</v>
      </c>
    </row>
    <row r="145" spans="2:14" x14ac:dyDescent="0.2">
      <c r="B145" s="124"/>
      <c r="C145" s="496"/>
      <c r="D145" s="118"/>
      <c r="E145" s="118"/>
      <c r="F145" s="118"/>
      <c r="G145" s="500" t="s">
        <v>54</v>
      </c>
      <c r="H145" s="501"/>
      <c r="I145" s="502"/>
      <c r="J145" s="502"/>
      <c r="K145" s="503"/>
      <c r="L145" s="502"/>
      <c r="M145" s="504">
        <f>IF($D141&gt;=M144,M144,0)</f>
        <v>1</v>
      </c>
      <c r="N145" s="504">
        <f>IF($D141&gt;=N144,N144,0)</f>
        <v>1</v>
      </c>
    </row>
    <row r="146" spans="2:14" x14ac:dyDescent="0.2">
      <c r="B146" s="124">
        <v>6</v>
      </c>
      <c r="C146" s="493">
        <f>+IF(BANCOS!$H$104&lt;0,-BANCOS!$H$104,0)</f>
        <v>0</v>
      </c>
      <c r="D146" s="118">
        <v>1</v>
      </c>
      <c r="E146" s="494">
        <v>0.08</v>
      </c>
      <c r="F146" s="494">
        <v>0.05</v>
      </c>
      <c r="G146" s="495" t="s">
        <v>51</v>
      </c>
      <c r="H146" s="138"/>
      <c r="I146" s="138"/>
      <c r="J146" s="138"/>
      <c r="K146" s="138"/>
      <c r="L146" s="138"/>
      <c r="M146" s="138"/>
      <c r="N146" s="495">
        <f>IF(N150&gt;0,PPMT($E$141+$F$141,N149,$D$141,$C$141,0),0)</f>
        <v>0</v>
      </c>
    </row>
    <row r="147" spans="2:14" x14ac:dyDescent="0.2">
      <c r="B147" s="124"/>
      <c r="C147" s="496"/>
      <c r="D147" s="118"/>
      <c r="E147" s="118"/>
      <c r="F147" s="118"/>
      <c r="G147" s="495" t="s">
        <v>110</v>
      </c>
      <c r="H147" s="138"/>
      <c r="I147" s="138"/>
      <c r="J147" s="138"/>
      <c r="K147" s="138"/>
      <c r="L147" s="138"/>
      <c r="M147" s="138"/>
      <c r="N147" s="495">
        <f>IF(N150&gt;0,IPMT($E$141+$F$141,N150,$D$141,$C$141,0),0)</f>
        <v>0</v>
      </c>
    </row>
    <row r="148" spans="2:14" x14ac:dyDescent="0.2">
      <c r="B148" s="124"/>
      <c r="C148" s="496"/>
      <c r="D148" s="118"/>
      <c r="E148" s="118"/>
      <c r="F148" s="118"/>
      <c r="G148" s="495" t="s">
        <v>52</v>
      </c>
      <c r="H148" s="497"/>
      <c r="I148" s="497"/>
      <c r="J148" s="497"/>
      <c r="K148" s="497"/>
      <c r="L148" s="497"/>
      <c r="M148" s="497"/>
      <c r="N148" s="495">
        <f>C146+N146</f>
        <v>0</v>
      </c>
    </row>
    <row r="149" spans="2:14" x14ac:dyDescent="0.2">
      <c r="B149" s="124"/>
      <c r="C149" s="496"/>
      <c r="D149" s="118"/>
      <c r="E149" s="118"/>
      <c r="F149" s="118"/>
      <c r="G149" s="498" t="s">
        <v>53</v>
      </c>
      <c r="H149" s="497"/>
      <c r="I149" s="138"/>
      <c r="J149" s="138"/>
      <c r="K149" s="496"/>
      <c r="L149" s="138"/>
      <c r="M149" s="138"/>
      <c r="N149" s="499">
        <v>1</v>
      </c>
    </row>
    <row r="150" spans="2:14" x14ac:dyDescent="0.2">
      <c r="B150" s="124"/>
      <c r="C150" s="496"/>
      <c r="D150" s="118"/>
      <c r="E150" s="118"/>
      <c r="F150" s="118"/>
      <c r="G150" s="500" t="s">
        <v>54</v>
      </c>
      <c r="H150" s="501"/>
      <c r="I150" s="502"/>
      <c r="J150" s="502"/>
      <c r="K150" s="503"/>
      <c r="L150" s="502"/>
      <c r="M150" s="502"/>
      <c r="N150" s="504">
        <f>IF($D146&gt;=N149,N149,0)</f>
        <v>1</v>
      </c>
    </row>
    <row r="151" spans="2:14" x14ac:dyDescent="0.2">
      <c r="B151" s="23"/>
      <c r="C151" s="505"/>
      <c r="D151" s="50"/>
      <c r="E151" s="50"/>
      <c r="F151" s="798" t="s">
        <v>1</v>
      </c>
      <c r="G151" s="506" t="s">
        <v>10</v>
      </c>
      <c r="H151" s="507"/>
      <c r="I151" s="508">
        <f>+I121</f>
        <v>0</v>
      </c>
      <c r="J151" s="508">
        <f>J121+J126</f>
        <v>0</v>
      </c>
      <c r="K151" s="508">
        <f>K121+K126+K131</f>
        <v>0</v>
      </c>
      <c r="L151" s="508">
        <f>L121+L126+L131+L136</f>
        <v>0</v>
      </c>
      <c r="M151" s="508">
        <f>M121+M126+M131+M136+M141</f>
        <v>0</v>
      </c>
      <c r="N151" s="508">
        <f>N121+N126+N131+N136+N141+N146</f>
        <v>0</v>
      </c>
    </row>
    <row r="152" spans="2:14" x14ac:dyDescent="0.2">
      <c r="B152" s="23"/>
      <c r="C152" s="505"/>
      <c r="D152" s="50"/>
      <c r="E152" s="50"/>
      <c r="F152" s="798"/>
      <c r="G152" s="509" t="s">
        <v>111</v>
      </c>
      <c r="H152" s="138"/>
      <c r="I152" s="510">
        <f>I122+I127+I132+I137+I142</f>
        <v>0</v>
      </c>
      <c r="J152" s="510">
        <f>J122+J127+J132+J137+J142</f>
        <v>0</v>
      </c>
      <c r="K152" s="510">
        <f>K122+K127+K132+K137+K142</f>
        <v>0</v>
      </c>
      <c r="L152" s="510">
        <f>L122+L127+L132+L137+L142</f>
        <v>0</v>
      </c>
      <c r="M152" s="510">
        <f>M122+M127+M132+M137+M142</f>
        <v>0</v>
      </c>
      <c r="N152" s="510">
        <f>N122+N127+N132+N137+N142+N147</f>
        <v>0</v>
      </c>
    </row>
    <row r="153" spans="2:14" x14ac:dyDescent="0.2">
      <c r="B153" s="23"/>
      <c r="C153" s="505"/>
      <c r="D153" s="50"/>
      <c r="E153" s="50"/>
      <c r="F153" s="798"/>
      <c r="G153" s="511" t="s">
        <v>202</v>
      </c>
      <c r="H153" s="512"/>
      <c r="I153" s="513">
        <f>I123</f>
        <v>0</v>
      </c>
      <c r="J153" s="510">
        <f>J123+J128+J133+J138+J143</f>
        <v>0</v>
      </c>
      <c r="K153" s="510">
        <f>K123+K128+K133+K138+K143</f>
        <v>0</v>
      </c>
      <c r="L153" s="510">
        <f>L123+L128+L133+L138+L143</f>
        <v>0</v>
      </c>
      <c r="M153" s="510">
        <f>M123+M128+M133+M138+M143</f>
        <v>0</v>
      </c>
      <c r="N153" s="510">
        <f>N123+N128+N133+N138+N143</f>
        <v>0</v>
      </c>
    </row>
    <row r="157" spans="2:14" x14ac:dyDescent="0.2">
      <c r="J157" s="472"/>
    </row>
    <row r="158" spans="2:14" x14ac:dyDescent="0.2">
      <c r="I158" s="514"/>
      <c r="J158" s="514"/>
      <c r="K158" s="514"/>
    </row>
  </sheetData>
  <mergeCells count="13">
    <mergeCell ref="F151:F153"/>
    <mergeCell ref="B8:N8"/>
    <mergeCell ref="B9:N9"/>
    <mergeCell ref="B11:E11"/>
    <mergeCell ref="B12:E12"/>
    <mergeCell ref="B13:E13"/>
    <mergeCell ref="H12:I12"/>
    <mergeCell ref="L11:O11"/>
    <mergeCell ref="B14:E14"/>
    <mergeCell ref="B15:E15"/>
    <mergeCell ref="B17:E17"/>
    <mergeCell ref="B16:E16"/>
    <mergeCell ref="B28:I28"/>
  </mergeCells>
  <phoneticPr fontId="0" type="noConversion"/>
  <dataValidations count="1">
    <dataValidation type="list" allowBlank="1" showInputMessage="1" showErrorMessage="1" sqref="M16:O16 M18:O18 M21:O22" xr:uid="{00000000-0002-0000-0800-000000000000}">
      <formula1>$Z$11:$Z$12</formula1>
    </dataValidation>
  </dataValidations>
  <printOptions horizontalCentered="1" verticalCentered="1"/>
  <pageMargins left="0.39370078740157483" right="0.39370078740157483" top="0.39370078740157483" bottom="0.39370078740157483" header="0" footer="0"/>
  <pageSetup paperSize="9" scale="75" orientation="landscape" horizontalDpi="300" verticalDpi="300" r:id="rId1"/>
  <headerFooter alignWithMargins="0"/>
  <drawing r:id="rId2"/>
  <legacyDrawing r:id="rId3"/>
  <controls>
    <mc:AlternateContent xmlns:mc="http://schemas.openxmlformats.org/markup-compatibility/2006">
      <mc:Choice Requires="x14">
        <control shapeId="26625" r:id="rId4" name="CommandButton1">
          <controlPr defaultSize="0" autoLine="0" r:id="rId5">
            <anchor moveWithCells="1">
              <from>
                <xdr:col>1</xdr:col>
                <xdr:colOff>0</xdr:colOff>
                <xdr:row>0</xdr:row>
                <xdr:rowOff>114300</xdr:rowOff>
              </from>
              <to>
                <xdr:col>2</xdr:col>
                <xdr:colOff>657225</xdr:colOff>
                <xdr:row>4</xdr:row>
                <xdr:rowOff>57150</xdr:rowOff>
              </to>
            </anchor>
          </controlPr>
        </control>
      </mc:Choice>
      <mc:Fallback>
        <control shapeId="26625" r:id="rId4" name="Command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MENU</vt:lpstr>
      <vt:lpstr>Supuestos</vt:lpstr>
      <vt:lpstr>Inversion</vt:lpstr>
      <vt:lpstr>Ingresos</vt:lpstr>
      <vt:lpstr>Costos</vt:lpstr>
      <vt:lpstr>Nomina</vt:lpstr>
      <vt:lpstr>Gastos</vt:lpstr>
      <vt:lpstr>Capital de trabajo</vt:lpstr>
      <vt:lpstr>Creditos</vt:lpstr>
      <vt:lpstr>Valoracion</vt:lpstr>
      <vt:lpstr>BANCOS</vt:lpstr>
      <vt:lpstr>BG_P&amp;G</vt:lpstr>
      <vt:lpstr>Graficos</vt:lpstr>
      <vt:lpstr>'BG_P&amp;G'!Área_de_impresión</vt:lpstr>
      <vt:lpstr>Costos!Área_de_impresión</vt:lpstr>
      <vt:lpstr>Nomina!Área_de_impresión</vt:lpstr>
      <vt:lpstr>Costos!Títulos_a_imprimir</vt:lpstr>
    </vt:vector>
  </TitlesOfParts>
  <Manager>Aura L. Hurtado / Lylliana Roldán B</Manager>
  <Company>Consultoría Empresarial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Modelo de Valoración</dc:title>
  <dc:creator>Omaira Castillon</dc:creator>
  <dc:description>Modelo revisado y validado por Consultoría Empresarial</dc:description>
  <cp:lastModifiedBy>Karina</cp:lastModifiedBy>
  <cp:lastPrinted>2006-09-18T15:29:43Z</cp:lastPrinted>
  <dcterms:created xsi:type="dcterms:W3CDTF">1998-07-15T17:12:18Z</dcterms:created>
  <dcterms:modified xsi:type="dcterms:W3CDTF">2021-07-07T03:59:54Z</dcterms:modified>
</cp:coreProperties>
</file>