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bros\Especialización en Evaluación Finanaciera\Monografía para graduación\"/>
    </mc:Choice>
  </mc:AlternateContent>
  <xr:revisionPtr revIDLastSave="0" documentId="8_{59879812-6209-4D43-A0A6-810EE06F3517}" xr6:coauthVersionLast="47" xr6:coauthVersionMax="47" xr10:uidLastSave="{00000000-0000-0000-0000-000000000000}"/>
  <bookViews>
    <workbookView xWindow="-120" yWindow="-120" windowWidth="20730" windowHeight="11760" firstSheet="6" activeTab="11" xr2:uid="{00000000-000D-0000-FFFF-FFFF00000000}"/>
  </bookViews>
  <sheets>
    <sheet name="Ppto" sheetId="1" r:id="rId1"/>
    <sheet name="EEFFs" sheetId="2" r:id="rId2"/>
    <sheet name="Evaluación" sheetId="3" r:id="rId3"/>
    <sheet name="CCPP" sheetId="4" r:id="rId4"/>
    <sheet name="Comercial" sheetId="5" r:id="rId5"/>
    <sheet name="Macro" sheetId="6" r:id="rId6"/>
    <sheet name="Retornos" sheetId="7" r:id="rId7"/>
    <sheet name="Betas" sheetId="8" r:id="rId8"/>
    <sheet name="EMBI" sheetId="9" r:id="rId9"/>
    <sheet name="Costo de Equipos" sheetId="10" r:id="rId10"/>
    <sheet name="OPEX" sheetId="11" r:id="rId11"/>
    <sheet name="Ingresos" sheetId="12" r:id="rId12"/>
    <sheet name="Gráficos" sheetId="13" r:id="rId13"/>
    <sheet name="Indicadores" sheetId="14" r:id="rId14"/>
  </sheets>
  <definedNames>
    <definedName name="Capital">CCPP!$C$20</definedName>
    <definedName name="Deuda">CCPP!$C$21</definedName>
    <definedName name="Error">CCPP!$G$7</definedName>
    <definedName name="FM">Ppto!$E$4</definedName>
  </definedNames>
  <calcPr calcId="191029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4" l="1"/>
  <c r="B29" i="14"/>
  <c r="B28" i="14"/>
  <c r="B25" i="14"/>
  <c r="B23" i="14"/>
  <c r="B13" i="14"/>
  <c r="B11" i="14"/>
  <c r="B8" i="14"/>
  <c r="B7" i="14"/>
  <c r="B12" i="14" s="1"/>
  <c r="B6" i="14"/>
  <c r="B5" i="14"/>
  <c r="U26" i="13"/>
  <c r="AD14" i="13"/>
  <c r="AC14" i="13"/>
  <c r="AB14" i="13"/>
  <c r="AA14" i="13"/>
  <c r="Z14" i="13"/>
  <c r="Y14" i="13"/>
  <c r="X14" i="13"/>
  <c r="W14" i="13"/>
  <c r="V14" i="13"/>
  <c r="U14" i="13"/>
  <c r="AD13" i="13"/>
  <c r="AC13" i="13"/>
  <c r="AB13" i="13"/>
  <c r="AA13" i="13"/>
  <c r="Z13" i="13"/>
  <c r="Y13" i="13"/>
  <c r="X13" i="13"/>
  <c r="W13" i="13"/>
  <c r="V13" i="13"/>
  <c r="U13" i="13"/>
  <c r="T13" i="13"/>
  <c r="AD12" i="13"/>
  <c r="AC12" i="13"/>
  <c r="AB12" i="13"/>
  <c r="AA12" i="13"/>
  <c r="Z12" i="13"/>
  <c r="Y12" i="13"/>
  <c r="X12" i="13"/>
  <c r="W12" i="13"/>
  <c r="V12" i="13"/>
  <c r="U12" i="13"/>
  <c r="T12" i="13"/>
  <c r="AD11" i="13"/>
  <c r="AC11" i="13"/>
  <c r="AB11" i="13"/>
  <c r="AA11" i="13"/>
  <c r="Z11" i="13"/>
  <c r="Y11" i="13"/>
  <c r="X11" i="13"/>
  <c r="W11" i="13"/>
  <c r="V11" i="13"/>
  <c r="U11" i="13"/>
  <c r="T11" i="13"/>
  <c r="C4" i="12"/>
  <c r="C3" i="12"/>
  <c r="B41" i="11"/>
  <c r="C20" i="11"/>
  <c r="C22" i="11" s="1"/>
  <c r="M18" i="11"/>
  <c r="L18" i="11"/>
  <c r="K18" i="11"/>
  <c r="J18" i="11"/>
  <c r="I18" i="11"/>
  <c r="H18" i="11"/>
  <c r="G18" i="11"/>
  <c r="F18" i="11"/>
  <c r="E18" i="11"/>
  <c r="D18" i="11"/>
  <c r="C18" i="11"/>
  <c r="D11" i="10"/>
  <c r="E9" i="10"/>
  <c r="F9" i="10" s="1"/>
  <c r="C8" i="10"/>
  <c r="E7" i="10"/>
  <c r="F7" i="10" s="1"/>
  <c r="C6" i="10"/>
  <c r="E6" i="10" s="1"/>
  <c r="F6" i="10" s="1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C4" i="9" s="1"/>
  <c r="M8" i="9"/>
  <c r="K8" i="9"/>
  <c r="I8" i="9"/>
  <c r="G8" i="9"/>
  <c r="E8" i="9"/>
  <c r="C8" i="9"/>
  <c r="T98" i="8"/>
  <c r="S98" i="8"/>
  <c r="T97" i="8"/>
  <c r="S97" i="8"/>
  <c r="T96" i="8"/>
  <c r="S96" i="8"/>
  <c r="T95" i="8"/>
  <c r="S95" i="8"/>
  <c r="T94" i="8"/>
  <c r="S94" i="8"/>
  <c r="T93" i="8"/>
  <c r="S93" i="8"/>
  <c r="T92" i="8"/>
  <c r="S92" i="8"/>
  <c r="T91" i="8"/>
  <c r="S91" i="8"/>
  <c r="T90" i="8"/>
  <c r="S90" i="8"/>
  <c r="T89" i="8"/>
  <c r="S89" i="8"/>
  <c r="T88" i="8"/>
  <c r="S88" i="8"/>
  <c r="T87" i="8"/>
  <c r="S87" i="8"/>
  <c r="T86" i="8"/>
  <c r="S86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T76" i="8"/>
  <c r="S76" i="8"/>
  <c r="T75" i="8"/>
  <c r="S75" i="8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T11" i="8"/>
  <c r="S11" i="8"/>
  <c r="T10" i="8"/>
  <c r="S10" i="8"/>
  <c r="T9" i="8"/>
  <c r="S9" i="8"/>
  <c r="T8" i="8"/>
  <c r="S8" i="8"/>
  <c r="T7" i="8"/>
  <c r="S7" i="8"/>
  <c r="T6" i="8"/>
  <c r="S6" i="8"/>
  <c r="T5" i="8"/>
  <c r="S5" i="8"/>
  <c r="T4" i="8"/>
  <c r="S4" i="8"/>
  <c r="T3" i="8"/>
  <c r="S3" i="8"/>
  <c r="O327" i="7"/>
  <c r="N327" i="7"/>
  <c r="M327" i="7"/>
  <c r="I152" i="7" s="1"/>
  <c r="L327" i="7"/>
  <c r="K327" i="7"/>
  <c r="J327" i="7"/>
  <c r="I327" i="7"/>
  <c r="H327" i="7"/>
  <c r="G327" i="7"/>
  <c r="F327" i="7"/>
  <c r="E327" i="7"/>
  <c r="D327" i="7"/>
  <c r="C327" i="7"/>
  <c r="D173" i="7"/>
  <c r="E172" i="7"/>
  <c r="D172" i="7"/>
  <c r="C172" i="7"/>
  <c r="D171" i="7"/>
  <c r="E171" i="7" s="1"/>
  <c r="E170" i="7"/>
  <c r="D170" i="7"/>
  <c r="D168" i="7"/>
  <c r="E168" i="7" s="1"/>
  <c r="E167" i="7"/>
  <c r="D167" i="7"/>
  <c r="D165" i="7"/>
  <c r="D159" i="7" s="1"/>
  <c r="E162" i="7"/>
  <c r="C162" i="7"/>
  <c r="C163" i="7" s="1"/>
  <c r="C159" i="7"/>
  <c r="M157" i="7"/>
  <c r="D157" i="7"/>
  <c r="E157" i="7" s="1"/>
  <c r="M156" i="7"/>
  <c r="D156" i="7"/>
  <c r="E156" i="7" s="1"/>
  <c r="M155" i="7"/>
  <c r="N154" i="7"/>
  <c r="M154" i="7"/>
  <c r="I154" i="7"/>
  <c r="O154" i="7" s="1"/>
  <c r="H154" i="7"/>
  <c r="O153" i="7"/>
  <c r="M153" i="7"/>
  <c r="K153" i="7"/>
  <c r="I153" i="7"/>
  <c r="H153" i="7"/>
  <c r="N153" i="7" s="1"/>
  <c r="M152" i="7"/>
  <c r="J152" i="7"/>
  <c r="O151" i="7"/>
  <c r="N151" i="7"/>
  <c r="K151" i="7"/>
  <c r="I140" i="7"/>
  <c r="H140" i="7"/>
  <c r="B140" i="7"/>
  <c r="B139" i="7"/>
  <c r="G136" i="7" s="1"/>
  <c r="B138" i="7"/>
  <c r="G137" i="7"/>
  <c r="B137" i="7"/>
  <c r="G138" i="7" s="1"/>
  <c r="G135" i="7"/>
  <c r="D135" i="7"/>
  <c r="C135" i="7"/>
  <c r="J134" i="7"/>
  <c r="I134" i="7"/>
  <c r="H134" i="7"/>
  <c r="E134" i="7"/>
  <c r="D134" i="7"/>
  <c r="C134" i="7"/>
  <c r="C133" i="7"/>
  <c r="C132" i="7"/>
  <c r="B113" i="7" s="1"/>
  <c r="B122" i="7" s="1"/>
  <c r="F127" i="7"/>
  <c r="F126" i="7"/>
  <c r="F125" i="7"/>
  <c r="F124" i="7"/>
  <c r="B124" i="7"/>
  <c r="F123" i="7"/>
  <c r="B136" i="7" s="1"/>
  <c r="G139" i="7" s="1"/>
  <c r="I122" i="7"/>
  <c r="E122" i="7"/>
  <c r="E135" i="7" s="1"/>
  <c r="J140" i="7" s="1"/>
  <c r="D122" i="7"/>
  <c r="C122" i="7"/>
  <c r="F121" i="7"/>
  <c r="H118" i="7"/>
  <c r="E118" i="7"/>
  <c r="D118" i="7"/>
  <c r="C118" i="7"/>
  <c r="B118" i="7"/>
  <c r="B127" i="7" s="1"/>
  <c r="H117" i="7"/>
  <c r="E117" i="7"/>
  <c r="D117" i="7"/>
  <c r="C117" i="7"/>
  <c r="I117" i="7" s="1"/>
  <c r="B117" i="7"/>
  <c r="B126" i="7" s="1"/>
  <c r="E116" i="7"/>
  <c r="I116" i="7" s="1"/>
  <c r="D116" i="7"/>
  <c r="C116" i="7"/>
  <c r="H116" i="7" s="1"/>
  <c r="B116" i="7"/>
  <c r="B125" i="7" s="1"/>
  <c r="E115" i="7"/>
  <c r="D115" i="7"/>
  <c r="C115" i="7"/>
  <c r="I115" i="7" s="1"/>
  <c r="B115" i="7"/>
  <c r="E114" i="7"/>
  <c r="D114" i="7"/>
  <c r="C114" i="7"/>
  <c r="H114" i="7" s="1"/>
  <c r="B114" i="7"/>
  <c r="B123" i="7" s="1"/>
  <c r="F113" i="7"/>
  <c r="F122" i="7" s="1"/>
  <c r="B135" i="7" s="1"/>
  <c r="G140" i="7" s="1"/>
  <c r="E113" i="7"/>
  <c r="D113" i="7"/>
  <c r="C113" i="7"/>
  <c r="I113" i="7" s="1"/>
  <c r="V108" i="7"/>
  <c r="U108" i="7"/>
  <c r="T108" i="7"/>
  <c r="Q108" i="7"/>
  <c r="P108" i="7"/>
  <c r="O108" i="7"/>
  <c r="N108" i="7"/>
  <c r="S108" i="7" s="1"/>
  <c r="K108" i="7"/>
  <c r="V107" i="7"/>
  <c r="U107" i="7"/>
  <c r="T107" i="7"/>
  <c r="Q107" i="7"/>
  <c r="P107" i="7"/>
  <c r="O107" i="7"/>
  <c r="N107" i="7"/>
  <c r="S107" i="7" s="1"/>
  <c r="K107" i="7"/>
  <c r="V106" i="7"/>
  <c r="U106" i="7"/>
  <c r="T106" i="7"/>
  <c r="Q106" i="7"/>
  <c r="P106" i="7"/>
  <c r="O106" i="7"/>
  <c r="N106" i="7"/>
  <c r="S106" i="7" s="1"/>
  <c r="K106" i="7"/>
  <c r="J106" i="7"/>
  <c r="I106" i="7"/>
  <c r="V105" i="7"/>
  <c r="U105" i="7"/>
  <c r="T105" i="7"/>
  <c r="Q105" i="7"/>
  <c r="P105" i="7"/>
  <c r="O105" i="7"/>
  <c r="N105" i="7"/>
  <c r="S105" i="7" s="1"/>
  <c r="K105" i="7"/>
  <c r="J105" i="7"/>
  <c r="K115" i="7" s="1"/>
  <c r="I105" i="7"/>
  <c r="V104" i="7"/>
  <c r="U104" i="7"/>
  <c r="T104" i="7"/>
  <c r="Q104" i="7"/>
  <c r="P104" i="7"/>
  <c r="O104" i="7"/>
  <c r="N104" i="7"/>
  <c r="S104" i="7" s="1"/>
  <c r="K104" i="7"/>
  <c r="J104" i="7"/>
  <c r="I104" i="7"/>
  <c r="V103" i="7"/>
  <c r="U103" i="7"/>
  <c r="T103" i="7"/>
  <c r="Q103" i="7"/>
  <c r="P103" i="7"/>
  <c r="O103" i="7"/>
  <c r="N103" i="7"/>
  <c r="S103" i="7" s="1"/>
  <c r="K103" i="7"/>
  <c r="J103" i="7"/>
  <c r="I103" i="7"/>
  <c r="V102" i="7"/>
  <c r="U102" i="7"/>
  <c r="T102" i="7"/>
  <c r="Q102" i="7"/>
  <c r="P102" i="7"/>
  <c r="O102" i="7"/>
  <c r="N102" i="7"/>
  <c r="S102" i="7" s="1"/>
  <c r="K102" i="7"/>
  <c r="J102" i="7"/>
  <c r="I102" i="7"/>
  <c r="V101" i="7"/>
  <c r="U101" i="7"/>
  <c r="T101" i="7"/>
  <c r="Q101" i="7"/>
  <c r="P101" i="7"/>
  <c r="O101" i="7"/>
  <c r="N101" i="7"/>
  <c r="S101" i="7" s="1"/>
  <c r="K101" i="7"/>
  <c r="J101" i="7"/>
  <c r="I101" i="7"/>
  <c r="V100" i="7"/>
  <c r="U100" i="7"/>
  <c r="T100" i="7"/>
  <c r="Q100" i="7"/>
  <c r="P100" i="7"/>
  <c r="O100" i="7"/>
  <c r="N100" i="7"/>
  <c r="S100" i="7" s="1"/>
  <c r="K100" i="7"/>
  <c r="J100" i="7"/>
  <c r="I100" i="7"/>
  <c r="V99" i="7"/>
  <c r="U99" i="7"/>
  <c r="T99" i="7"/>
  <c r="N99" i="7"/>
  <c r="S99" i="7" s="1"/>
  <c r="J99" i="7"/>
  <c r="I99" i="7"/>
  <c r="V98" i="7"/>
  <c r="U98" i="7"/>
  <c r="T98" i="7"/>
  <c r="N98" i="7"/>
  <c r="S98" i="7" s="1"/>
  <c r="J98" i="7"/>
  <c r="I98" i="7"/>
  <c r="V97" i="7"/>
  <c r="U97" i="7"/>
  <c r="T97" i="7"/>
  <c r="S97" i="7"/>
  <c r="N97" i="7"/>
  <c r="J97" i="7"/>
  <c r="I97" i="7"/>
  <c r="V96" i="7"/>
  <c r="U96" i="7"/>
  <c r="T96" i="7"/>
  <c r="N96" i="7"/>
  <c r="S96" i="7" s="1"/>
  <c r="J96" i="7"/>
  <c r="I96" i="7"/>
  <c r="V95" i="7"/>
  <c r="U95" i="7"/>
  <c r="T95" i="7"/>
  <c r="N95" i="7"/>
  <c r="S95" i="7" s="1"/>
  <c r="J95" i="7"/>
  <c r="I95" i="7"/>
  <c r="V94" i="7"/>
  <c r="U94" i="7"/>
  <c r="T94" i="7"/>
  <c r="N94" i="7"/>
  <c r="S94" i="7" s="1"/>
  <c r="J94" i="7"/>
  <c r="I94" i="7"/>
  <c r="V93" i="7"/>
  <c r="U93" i="7"/>
  <c r="T93" i="7"/>
  <c r="S93" i="7"/>
  <c r="N93" i="7"/>
  <c r="J93" i="7"/>
  <c r="I93" i="7"/>
  <c r="V92" i="7"/>
  <c r="U92" i="7"/>
  <c r="T92" i="7"/>
  <c r="N92" i="7"/>
  <c r="S92" i="7" s="1"/>
  <c r="J92" i="7"/>
  <c r="I92" i="7"/>
  <c r="V91" i="7"/>
  <c r="U91" i="7"/>
  <c r="T91" i="7"/>
  <c r="N91" i="7"/>
  <c r="S91" i="7" s="1"/>
  <c r="J91" i="7"/>
  <c r="I91" i="7"/>
  <c r="V90" i="7"/>
  <c r="U90" i="7"/>
  <c r="T90" i="7"/>
  <c r="N90" i="7"/>
  <c r="S90" i="7" s="1"/>
  <c r="J90" i="7"/>
  <c r="I90" i="7"/>
  <c r="V89" i="7"/>
  <c r="U89" i="7"/>
  <c r="T89" i="7"/>
  <c r="S89" i="7"/>
  <c r="N89" i="7"/>
  <c r="J89" i="7"/>
  <c r="I89" i="7"/>
  <c r="V88" i="7"/>
  <c r="U88" i="7"/>
  <c r="T88" i="7"/>
  <c r="S88" i="7"/>
  <c r="N88" i="7"/>
  <c r="J88" i="7"/>
  <c r="I88" i="7"/>
  <c r="V87" i="7"/>
  <c r="U87" i="7"/>
  <c r="T87" i="7"/>
  <c r="N87" i="7"/>
  <c r="S87" i="7" s="1"/>
  <c r="J87" i="7"/>
  <c r="I87" i="7"/>
  <c r="V86" i="7"/>
  <c r="U86" i="7"/>
  <c r="T86" i="7"/>
  <c r="S86" i="7"/>
  <c r="N86" i="7"/>
  <c r="J86" i="7"/>
  <c r="I86" i="7"/>
  <c r="V85" i="7"/>
  <c r="U85" i="7"/>
  <c r="T85" i="7"/>
  <c r="N85" i="7"/>
  <c r="S85" i="7" s="1"/>
  <c r="J85" i="7"/>
  <c r="I85" i="7"/>
  <c r="V84" i="7"/>
  <c r="U84" i="7"/>
  <c r="T84" i="7"/>
  <c r="S84" i="7"/>
  <c r="N84" i="7"/>
  <c r="J84" i="7"/>
  <c r="I84" i="7"/>
  <c r="V83" i="7"/>
  <c r="U83" i="7"/>
  <c r="T83" i="7"/>
  <c r="N83" i="7"/>
  <c r="S83" i="7" s="1"/>
  <c r="J83" i="7"/>
  <c r="I83" i="7"/>
  <c r="V82" i="7"/>
  <c r="U82" i="7"/>
  <c r="T82" i="7"/>
  <c r="S82" i="7"/>
  <c r="N82" i="7"/>
  <c r="J82" i="7"/>
  <c r="I82" i="7"/>
  <c r="V81" i="7"/>
  <c r="U81" i="7"/>
  <c r="T81" i="7"/>
  <c r="N81" i="7"/>
  <c r="S81" i="7" s="1"/>
  <c r="J81" i="7"/>
  <c r="I81" i="7"/>
  <c r="V80" i="7"/>
  <c r="U80" i="7"/>
  <c r="T80" i="7"/>
  <c r="S80" i="7"/>
  <c r="N80" i="7"/>
  <c r="J80" i="7"/>
  <c r="I80" i="7"/>
  <c r="V79" i="7"/>
  <c r="U79" i="7"/>
  <c r="T79" i="7"/>
  <c r="N79" i="7"/>
  <c r="S79" i="7" s="1"/>
  <c r="J79" i="7"/>
  <c r="I79" i="7"/>
  <c r="V78" i="7"/>
  <c r="U78" i="7"/>
  <c r="T78" i="7"/>
  <c r="S78" i="7"/>
  <c r="N78" i="7"/>
  <c r="J78" i="7"/>
  <c r="I78" i="7"/>
  <c r="V77" i="7"/>
  <c r="U77" i="7"/>
  <c r="T77" i="7"/>
  <c r="N77" i="7"/>
  <c r="S77" i="7" s="1"/>
  <c r="J77" i="7"/>
  <c r="I77" i="7"/>
  <c r="V76" i="7"/>
  <c r="U76" i="7"/>
  <c r="T76" i="7"/>
  <c r="S76" i="7"/>
  <c r="N76" i="7"/>
  <c r="J76" i="7"/>
  <c r="I76" i="7"/>
  <c r="V75" i="7"/>
  <c r="U75" i="7"/>
  <c r="T75" i="7"/>
  <c r="N75" i="7"/>
  <c r="S75" i="7" s="1"/>
  <c r="J75" i="7"/>
  <c r="I75" i="7"/>
  <c r="V74" i="7"/>
  <c r="U74" i="7"/>
  <c r="T74" i="7"/>
  <c r="S74" i="7"/>
  <c r="N74" i="7"/>
  <c r="J74" i="7"/>
  <c r="I74" i="7"/>
  <c r="V73" i="7"/>
  <c r="U73" i="7"/>
  <c r="T73" i="7"/>
  <c r="N73" i="7"/>
  <c r="S73" i="7" s="1"/>
  <c r="J73" i="7"/>
  <c r="I73" i="7"/>
  <c r="V72" i="7"/>
  <c r="U72" i="7"/>
  <c r="T72" i="7"/>
  <c r="S72" i="7"/>
  <c r="N72" i="7"/>
  <c r="J72" i="7"/>
  <c r="I72" i="7"/>
  <c r="V71" i="7"/>
  <c r="U71" i="7"/>
  <c r="T71" i="7"/>
  <c r="N71" i="7"/>
  <c r="S71" i="7" s="1"/>
  <c r="J71" i="7"/>
  <c r="I71" i="7"/>
  <c r="V70" i="7"/>
  <c r="U70" i="7"/>
  <c r="T70" i="7"/>
  <c r="S70" i="7"/>
  <c r="N70" i="7"/>
  <c r="J70" i="7"/>
  <c r="I70" i="7"/>
  <c r="V69" i="7"/>
  <c r="U69" i="7"/>
  <c r="T69" i="7"/>
  <c r="N69" i="7"/>
  <c r="S69" i="7" s="1"/>
  <c r="J69" i="7"/>
  <c r="I69" i="7"/>
  <c r="V68" i="7"/>
  <c r="U68" i="7"/>
  <c r="T68" i="7"/>
  <c r="S68" i="7"/>
  <c r="N68" i="7"/>
  <c r="J68" i="7"/>
  <c r="I68" i="7"/>
  <c r="V67" i="7"/>
  <c r="U67" i="7"/>
  <c r="T67" i="7"/>
  <c r="N67" i="7"/>
  <c r="S67" i="7" s="1"/>
  <c r="J67" i="7"/>
  <c r="I67" i="7"/>
  <c r="V66" i="7"/>
  <c r="U66" i="7"/>
  <c r="T66" i="7"/>
  <c r="S66" i="7"/>
  <c r="N66" i="7"/>
  <c r="J66" i="7"/>
  <c r="I66" i="7"/>
  <c r="V65" i="7"/>
  <c r="U65" i="7"/>
  <c r="T65" i="7"/>
  <c r="N65" i="7"/>
  <c r="S65" i="7" s="1"/>
  <c r="J65" i="7"/>
  <c r="I65" i="7"/>
  <c r="V64" i="7"/>
  <c r="U64" i="7"/>
  <c r="T64" i="7"/>
  <c r="S64" i="7"/>
  <c r="N64" i="7"/>
  <c r="J64" i="7"/>
  <c r="I64" i="7"/>
  <c r="V63" i="7"/>
  <c r="U63" i="7"/>
  <c r="T63" i="7"/>
  <c r="N63" i="7"/>
  <c r="S63" i="7" s="1"/>
  <c r="J63" i="7"/>
  <c r="I63" i="7"/>
  <c r="V62" i="7"/>
  <c r="U62" i="7"/>
  <c r="T62" i="7"/>
  <c r="S62" i="7"/>
  <c r="N62" i="7"/>
  <c r="J62" i="7"/>
  <c r="I62" i="7"/>
  <c r="V61" i="7"/>
  <c r="U61" i="7"/>
  <c r="T61" i="7"/>
  <c r="N61" i="7"/>
  <c r="S61" i="7" s="1"/>
  <c r="J61" i="7"/>
  <c r="I61" i="7"/>
  <c r="V60" i="7"/>
  <c r="U60" i="7"/>
  <c r="T60" i="7"/>
  <c r="S60" i="7"/>
  <c r="N60" i="7"/>
  <c r="J60" i="7"/>
  <c r="I60" i="7"/>
  <c r="V59" i="7"/>
  <c r="U59" i="7"/>
  <c r="T59" i="7"/>
  <c r="N59" i="7"/>
  <c r="S59" i="7" s="1"/>
  <c r="J59" i="7"/>
  <c r="I59" i="7"/>
  <c r="V58" i="7"/>
  <c r="U58" i="7"/>
  <c r="T58" i="7"/>
  <c r="S58" i="7"/>
  <c r="N58" i="7"/>
  <c r="J58" i="7"/>
  <c r="I58" i="7"/>
  <c r="V57" i="7"/>
  <c r="U57" i="7"/>
  <c r="T57" i="7"/>
  <c r="N57" i="7"/>
  <c r="S57" i="7" s="1"/>
  <c r="J57" i="7"/>
  <c r="I57" i="7"/>
  <c r="V56" i="7"/>
  <c r="U56" i="7"/>
  <c r="T56" i="7"/>
  <c r="S56" i="7"/>
  <c r="N56" i="7"/>
  <c r="J56" i="7"/>
  <c r="I56" i="7"/>
  <c r="V55" i="7"/>
  <c r="U55" i="7"/>
  <c r="T55" i="7"/>
  <c r="N55" i="7"/>
  <c r="S55" i="7" s="1"/>
  <c r="J55" i="7"/>
  <c r="I55" i="7"/>
  <c r="V54" i="7"/>
  <c r="U54" i="7"/>
  <c r="T54" i="7"/>
  <c r="S54" i="7"/>
  <c r="N54" i="7"/>
  <c r="J54" i="7"/>
  <c r="I54" i="7"/>
  <c r="V53" i="7"/>
  <c r="U53" i="7"/>
  <c r="T53" i="7"/>
  <c r="N53" i="7"/>
  <c r="S53" i="7" s="1"/>
  <c r="J53" i="7"/>
  <c r="I53" i="7"/>
  <c r="V52" i="7"/>
  <c r="U52" i="7"/>
  <c r="T52" i="7"/>
  <c r="S52" i="7"/>
  <c r="N52" i="7"/>
  <c r="J52" i="7"/>
  <c r="I52" i="7"/>
  <c r="V51" i="7"/>
  <c r="U51" i="7"/>
  <c r="T51" i="7"/>
  <c r="N51" i="7"/>
  <c r="S51" i="7" s="1"/>
  <c r="J51" i="7"/>
  <c r="I51" i="7"/>
  <c r="V50" i="7"/>
  <c r="U50" i="7"/>
  <c r="T50" i="7"/>
  <c r="S50" i="7"/>
  <c r="N50" i="7"/>
  <c r="J50" i="7"/>
  <c r="I50" i="7"/>
  <c r="V49" i="7"/>
  <c r="U49" i="7"/>
  <c r="T49" i="7"/>
  <c r="N49" i="7"/>
  <c r="S49" i="7" s="1"/>
  <c r="J49" i="7"/>
  <c r="I49" i="7"/>
  <c r="V48" i="7"/>
  <c r="U48" i="7"/>
  <c r="T48" i="7"/>
  <c r="S48" i="7"/>
  <c r="N48" i="7"/>
  <c r="J48" i="7"/>
  <c r="I48" i="7"/>
  <c r="V47" i="7"/>
  <c r="U47" i="7"/>
  <c r="T47" i="7"/>
  <c r="N47" i="7"/>
  <c r="S47" i="7" s="1"/>
  <c r="J47" i="7"/>
  <c r="I47" i="7"/>
  <c r="V46" i="7"/>
  <c r="U46" i="7"/>
  <c r="T46" i="7"/>
  <c r="S46" i="7"/>
  <c r="N46" i="7"/>
  <c r="J46" i="7"/>
  <c r="I46" i="7"/>
  <c r="V45" i="7"/>
  <c r="U45" i="7"/>
  <c r="T45" i="7"/>
  <c r="N45" i="7"/>
  <c r="S45" i="7" s="1"/>
  <c r="J45" i="7"/>
  <c r="I45" i="7"/>
  <c r="V44" i="7"/>
  <c r="U44" i="7"/>
  <c r="T44" i="7"/>
  <c r="S44" i="7"/>
  <c r="N44" i="7"/>
  <c r="J44" i="7"/>
  <c r="I44" i="7"/>
  <c r="V43" i="7"/>
  <c r="U43" i="7"/>
  <c r="T43" i="7"/>
  <c r="N43" i="7"/>
  <c r="S43" i="7" s="1"/>
  <c r="J43" i="7"/>
  <c r="I43" i="7"/>
  <c r="V42" i="7"/>
  <c r="U42" i="7"/>
  <c r="T42" i="7"/>
  <c r="S42" i="7"/>
  <c r="N42" i="7"/>
  <c r="J42" i="7"/>
  <c r="I42" i="7"/>
  <c r="V41" i="7"/>
  <c r="U41" i="7"/>
  <c r="T41" i="7"/>
  <c r="N41" i="7"/>
  <c r="S41" i="7" s="1"/>
  <c r="J41" i="7"/>
  <c r="I41" i="7"/>
  <c r="V40" i="7"/>
  <c r="U40" i="7"/>
  <c r="T40" i="7"/>
  <c r="S40" i="7"/>
  <c r="N40" i="7"/>
  <c r="J40" i="7"/>
  <c r="I40" i="7"/>
  <c r="V39" i="7"/>
  <c r="U39" i="7"/>
  <c r="T39" i="7"/>
  <c r="N39" i="7"/>
  <c r="S39" i="7" s="1"/>
  <c r="J39" i="7"/>
  <c r="I39" i="7"/>
  <c r="V38" i="7"/>
  <c r="U38" i="7"/>
  <c r="T38" i="7"/>
  <c r="S38" i="7"/>
  <c r="N38" i="7"/>
  <c r="J38" i="7"/>
  <c r="I38" i="7"/>
  <c r="V37" i="7"/>
  <c r="U37" i="7"/>
  <c r="T37" i="7"/>
  <c r="N37" i="7"/>
  <c r="S37" i="7" s="1"/>
  <c r="J37" i="7"/>
  <c r="I37" i="7"/>
  <c r="V36" i="7"/>
  <c r="U36" i="7"/>
  <c r="T36" i="7"/>
  <c r="S36" i="7"/>
  <c r="N36" i="7"/>
  <c r="J36" i="7"/>
  <c r="I36" i="7"/>
  <c r="V35" i="7"/>
  <c r="U35" i="7"/>
  <c r="T35" i="7"/>
  <c r="N35" i="7"/>
  <c r="S35" i="7" s="1"/>
  <c r="J35" i="7"/>
  <c r="I35" i="7"/>
  <c r="V34" i="7"/>
  <c r="U34" i="7"/>
  <c r="T34" i="7"/>
  <c r="S34" i="7"/>
  <c r="N34" i="7"/>
  <c r="J34" i="7"/>
  <c r="I34" i="7"/>
  <c r="V33" i="7"/>
  <c r="U33" i="7"/>
  <c r="T33" i="7"/>
  <c r="S33" i="7"/>
  <c r="N33" i="7"/>
  <c r="J33" i="7"/>
  <c r="I33" i="7"/>
  <c r="V32" i="7"/>
  <c r="U32" i="7"/>
  <c r="T32" i="7"/>
  <c r="N32" i="7"/>
  <c r="S32" i="7" s="1"/>
  <c r="J32" i="7"/>
  <c r="I32" i="7"/>
  <c r="V31" i="7"/>
  <c r="U31" i="7"/>
  <c r="T31" i="7"/>
  <c r="S31" i="7"/>
  <c r="N31" i="7"/>
  <c r="J31" i="7"/>
  <c r="I31" i="7"/>
  <c r="V30" i="7"/>
  <c r="U30" i="7"/>
  <c r="T30" i="7"/>
  <c r="N30" i="7"/>
  <c r="S30" i="7" s="1"/>
  <c r="J30" i="7"/>
  <c r="I30" i="7"/>
  <c r="V29" i="7"/>
  <c r="U29" i="7"/>
  <c r="T29" i="7"/>
  <c r="S29" i="7"/>
  <c r="N29" i="7"/>
  <c r="J29" i="7"/>
  <c r="I29" i="7"/>
  <c r="V28" i="7"/>
  <c r="U28" i="7"/>
  <c r="T28" i="7"/>
  <c r="N28" i="7"/>
  <c r="S28" i="7" s="1"/>
  <c r="J28" i="7"/>
  <c r="I28" i="7"/>
  <c r="V27" i="7"/>
  <c r="U27" i="7"/>
  <c r="T27" i="7"/>
  <c r="S27" i="7"/>
  <c r="N27" i="7"/>
  <c r="J27" i="7"/>
  <c r="I27" i="7"/>
  <c r="V26" i="7"/>
  <c r="U26" i="7"/>
  <c r="T26" i="7"/>
  <c r="S26" i="7"/>
  <c r="P26" i="7"/>
  <c r="N26" i="7"/>
  <c r="J26" i="7"/>
  <c r="I26" i="7"/>
  <c r="V25" i="7"/>
  <c r="U25" i="7"/>
  <c r="T25" i="7"/>
  <c r="S25" i="7"/>
  <c r="P25" i="7"/>
  <c r="N25" i="7"/>
  <c r="J25" i="7"/>
  <c r="I25" i="7"/>
  <c r="V24" i="7"/>
  <c r="U24" i="7"/>
  <c r="T24" i="7"/>
  <c r="S24" i="7"/>
  <c r="N24" i="7"/>
  <c r="J24" i="7"/>
  <c r="I24" i="7"/>
  <c r="V23" i="7"/>
  <c r="U23" i="7"/>
  <c r="T23" i="7"/>
  <c r="S23" i="7"/>
  <c r="N23" i="7"/>
  <c r="J23" i="7"/>
  <c r="I23" i="7"/>
  <c r="V22" i="7"/>
  <c r="U22" i="7"/>
  <c r="T22" i="7"/>
  <c r="S22" i="7"/>
  <c r="P22" i="7"/>
  <c r="N22" i="7"/>
  <c r="J22" i="7"/>
  <c r="I22" i="7"/>
  <c r="V21" i="7"/>
  <c r="U21" i="7"/>
  <c r="T21" i="7"/>
  <c r="S21" i="7"/>
  <c r="P21" i="7"/>
  <c r="N21" i="7"/>
  <c r="J21" i="7"/>
  <c r="I21" i="7"/>
  <c r="V20" i="7"/>
  <c r="U20" i="7"/>
  <c r="T20" i="7"/>
  <c r="S20" i="7"/>
  <c r="N20" i="7"/>
  <c r="J20" i="7"/>
  <c r="I20" i="7"/>
  <c r="V19" i="7"/>
  <c r="U19" i="7"/>
  <c r="T19" i="7"/>
  <c r="S19" i="7"/>
  <c r="N19" i="7"/>
  <c r="J19" i="7"/>
  <c r="I19" i="7"/>
  <c r="V18" i="7"/>
  <c r="U18" i="7"/>
  <c r="T18" i="7"/>
  <c r="S18" i="7"/>
  <c r="P18" i="7"/>
  <c r="N18" i="7"/>
  <c r="J18" i="7"/>
  <c r="I18" i="7"/>
  <c r="V17" i="7"/>
  <c r="U17" i="7"/>
  <c r="T17" i="7"/>
  <c r="S17" i="7"/>
  <c r="P17" i="7"/>
  <c r="N17" i="7"/>
  <c r="J17" i="7"/>
  <c r="I17" i="7"/>
  <c r="V16" i="7"/>
  <c r="U16" i="7"/>
  <c r="T16" i="7"/>
  <c r="S16" i="7"/>
  <c r="P16" i="7"/>
  <c r="N16" i="7"/>
  <c r="J16" i="7"/>
  <c r="I16" i="7"/>
  <c r="V15" i="7"/>
  <c r="U15" i="7"/>
  <c r="T15" i="7"/>
  <c r="S15" i="7"/>
  <c r="P15" i="7"/>
  <c r="N15" i="7"/>
  <c r="J15" i="7"/>
  <c r="I15" i="7"/>
  <c r="G15" i="7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F15" i="7"/>
  <c r="V14" i="7"/>
  <c r="U14" i="7"/>
  <c r="T14" i="7"/>
  <c r="S14" i="7"/>
  <c r="P14" i="7"/>
  <c r="N14" i="7"/>
  <c r="J14" i="7"/>
  <c r="I14" i="7"/>
  <c r="H14" i="7"/>
  <c r="Q14" i="7" s="1"/>
  <c r="G14" i="7"/>
  <c r="F14" i="7"/>
  <c r="V13" i="7"/>
  <c r="U13" i="7"/>
  <c r="T13" i="7"/>
  <c r="Q13" i="7"/>
  <c r="P13" i="7"/>
  <c r="O13" i="7"/>
  <c r="N13" i="7"/>
  <c r="S13" i="7" s="1"/>
  <c r="V12" i="7"/>
  <c r="Q12" i="7"/>
  <c r="P12" i="7"/>
  <c r="U12" i="7" s="1"/>
  <c r="O12" i="7"/>
  <c r="T12" i="7" s="1"/>
  <c r="G4" i="7"/>
  <c r="D50" i="6"/>
  <c r="E50" i="6" s="1"/>
  <c r="F50" i="6" s="1"/>
  <c r="G50" i="6" s="1"/>
  <c r="H50" i="6" s="1"/>
  <c r="I50" i="6" s="1"/>
  <c r="J50" i="6" s="1"/>
  <c r="K50" i="6" s="1"/>
  <c r="L50" i="6" s="1"/>
  <c r="M50" i="6" s="1"/>
  <c r="I46" i="6"/>
  <c r="J46" i="6" s="1"/>
  <c r="K46" i="6" s="1"/>
  <c r="L46" i="6" s="1"/>
  <c r="M46" i="6" s="1"/>
  <c r="D46" i="6"/>
  <c r="E46" i="6" s="1"/>
  <c r="F46" i="6" s="1"/>
  <c r="G46" i="6" s="1"/>
  <c r="H46" i="6" s="1"/>
  <c r="I42" i="6"/>
  <c r="J42" i="6" s="1"/>
  <c r="K42" i="6" s="1"/>
  <c r="L42" i="6" s="1"/>
  <c r="M42" i="6" s="1"/>
  <c r="D42" i="6"/>
  <c r="E42" i="6" s="1"/>
  <c r="F42" i="6" s="1"/>
  <c r="G42" i="6" s="1"/>
  <c r="H42" i="6" s="1"/>
  <c r="C35" i="6"/>
  <c r="B27" i="6"/>
  <c r="B26" i="6"/>
  <c r="B25" i="6"/>
  <c r="B24" i="6"/>
  <c r="B23" i="6"/>
  <c r="B22" i="6"/>
  <c r="B21" i="6"/>
  <c r="B20" i="6"/>
  <c r="B19" i="6"/>
  <c r="B18" i="6"/>
  <c r="C16" i="6"/>
  <c r="C15" i="6"/>
  <c r="H12" i="6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O11" i="6"/>
  <c r="P11" i="6" s="1"/>
  <c r="Q11" i="6" s="1"/>
  <c r="R11" i="6" s="1"/>
  <c r="S11" i="6" s="1"/>
  <c r="T11" i="6" s="1"/>
  <c r="U11" i="6" s="1"/>
  <c r="V11" i="6" s="1"/>
  <c r="W11" i="6" s="1"/>
  <c r="N11" i="6"/>
  <c r="J11" i="6"/>
  <c r="K11" i="6" s="1"/>
  <c r="L11" i="6" s="1"/>
  <c r="M11" i="6" s="1"/>
  <c r="I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H10" i="6"/>
  <c r="K9" i="6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J9" i="6"/>
  <c r="I9" i="6"/>
  <c r="D7" i="6"/>
  <c r="L6" i="6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H6" i="6"/>
  <c r="I6" i="6" s="1"/>
  <c r="J6" i="6" s="1"/>
  <c r="K6" i="6" s="1"/>
  <c r="F6" i="6"/>
  <c r="G6" i="6" s="1"/>
  <c r="I5" i="6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G5" i="6"/>
  <c r="H5" i="6" s="1"/>
  <c r="F5" i="6"/>
  <c r="J4" i="6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H4" i="6"/>
  <c r="I4" i="6" s="1"/>
  <c r="F4" i="6"/>
  <c r="G4" i="6" s="1"/>
  <c r="K3" i="6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I3" i="6"/>
  <c r="J3" i="6" s="1"/>
  <c r="H3" i="6"/>
  <c r="A3" i="6"/>
  <c r="A4" i="6" s="1"/>
  <c r="A5" i="6" s="1"/>
  <c r="A6" i="6" s="1"/>
  <c r="A7" i="6" s="1"/>
  <c r="A8" i="6" s="1"/>
  <c r="A9" i="6" s="1"/>
  <c r="A10" i="6" s="1"/>
  <c r="A11" i="6" s="1"/>
  <c r="A12" i="6" s="1"/>
  <c r="A2" i="6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D1" i="6"/>
  <c r="D139" i="5"/>
  <c r="N135" i="5"/>
  <c r="M135" i="5"/>
  <c r="L135" i="5"/>
  <c r="K135" i="5"/>
  <c r="J135" i="5"/>
  <c r="I135" i="5"/>
  <c r="H135" i="5"/>
  <c r="G135" i="5"/>
  <c r="F135" i="5"/>
  <c r="E135" i="5"/>
  <c r="B126" i="5"/>
  <c r="B125" i="5"/>
  <c r="B115" i="5"/>
  <c r="B111" i="5"/>
  <c r="B109" i="5"/>
  <c r="B113" i="5" s="1"/>
  <c r="B114" i="5" s="1"/>
  <c r="B105" i="5"/>
  <c r="B104" i="5"/>
  <c r="B95" i="5"/>
  <c r="B94" i="5"/>
  <c r="B87" i="5"/>
  <c r="B121" i="5" s="1"/>
  <c r="B80" i="5"/>
  <c r="B79" i="5"/>
  <c r="B78" i="5"/>
  <c r="B77" i="5"/>
  <c r="B76" i="5"/>
  <c r="B75" i="5"/>
  <c r="B74" i="5"/>
  <c r="N58" i="5"/>
  <c r="M58" i="5"/>
  <c r="L58" i="5"/>
  <c r="K58" i="5"/>
  <c r="J58" i="5"/>
  <c r="I58" i="5"/>
  <c r="H58" i="5"/>
  <c r="G58" i="5"/>
  <c r="F58" i="5"/>
  <c r="E58" i="5"/>
  <c r="G53" i="5"/>
  <c r="D53" i="5"/>
  <c r="H52" i="5"/>
  <c r="D52" i="5" s="1"/>
  <c r="H51" i="5"/>
  <c r="G51" i="5"/>
  <c r="B44" i="5"/>
  <c r="D41" i="5"/>
  <c r="D40" i="5"/>
  <c r="I35" i="5"/>
  <c r="I36" i="5" s="1"/>
  <c r="B35" i="5"/>
  <c r="B34" i="5"/>
  <c r="B33" i="5"/>
  <c r="B32" i="5"/>
  <c r="B31" i="5"/>
  <c r="B30" i="5"/>
  <c r="B29" i="5"/>
  <c r="B28" i="5"/>
  <c r="N11" i="5"/>
  <c r="M11" i="5"/>
  <c r="L11" i="5"/>
  <c r="K11" i="5"/>
  <c r="J11" i="5"/>
  <c r="I11" i="5"/>
  <c r="H11" i="5"/>
  <c r="G11" i="5"/>
  <c r="F11" i="5"/>
  <c r="E11" i="5"/>
  <c r="D10" i="5"/>
  <c r="D57" i="5" s="1"/>
  <c r="D9" i="5"/>
  <c r="D56" i="5" s="1"/>
  <c r="C23" i="4"/>
  <c r="D23" i="4" s="1"/>
  <c r="E21" i="4"/>
  <c r="D21" i="4"/>
  <c r="C21" i="4"/>
  <c r="E20" i="4"/>
  <c r="D20" i="4"/>
  <c r="C8" i="4"/>
  <c r="B2" i="4"/>
  <c r="D102" i="3"/>
  <c r="B101" i="3"/>
  <c r="D100" i="3"/>
  <c r="B97" i="3"/>
  <c r="B95" i="3"/>
  <c r="B83" i="3"/>
  <c r="B79" i="3"/>
  <c r="D76" i="3"/>
  <c r="B74" i="3"/>
  <c r="B73" i="3"/>
  <c r="B72" i="3"/>
  <c r="B77" i="3" s="1"/>
  <c r="B78" i="3" s="1"/>
  <c r="B60" i="3"/>
  <c r="B52" i="3"/>
  <c r="B48" i="3"/>
  <c r="B46" i="3"/>
  <c r="B42" i="3"/>
  <c r="B40" i="3"/>
  <c r="B41" i="3" s="1"/>
  <c r="B37" i="3"/>
  <c r="B35" i="3"/>
  <c r="B36" i="3" s="1"/>
  <c r="B23" i="3"/>
  <c r="B18" i="3"/>
  <c r="B14" i="3"/>
  <c r="B13" i="3"/>
  <c r="B17" i="3" s="1"/>
  <c r="B11" i="3"/>
  <c r="B10" i="3"/>
  <c r="N9" i="3"/>
  <c r="M9" i="3"/>
  <c r="L9" i="3"/>
  <c r="K9" i="3"/>
  <c r="J9" i="3"/>
  <c r="I9" i="3"/>
  <c r="H9" i="3"/>
  <c r="G9" i="3"/>
  <c r="F9" i="3"/>
  <c r="E9" i="3"/>
  <c r="B9" i="3"/>
  <c r="E8" i="3"/>
  <c r="D8" i="3"/>
  <c r="D51" i="3" s="1"/>
  <c r="D7" i="3"/>
  <c r="B5" i="3"/>
  <c r="B3" i="3"/>
  <c r="B156" i="2"/>
  <c r="B153" i="2"/>
  <c r="B160" i="2" s="1"/>
  <c r="B152" i="2"/>
  <c r="B159" i="2" s="1"/>
  <c r="B151" i="2"/>
  <c r="B158" i="2" s="1"/>
  <c r="B150" i="2"/>
  <c r="B157" i="2" s="1"/>
  <c r="N148" i="2"/>
  <c r="M148" i="2"/>
  <c r="L148" i="2"/>
  <c r="K148" i="2"/>
  <c r="J148" i="2"/>
  <c r="I148" i="2"/>
  <c r="H148" i="2"/>
  <c r="G148" i="2"/>
  <c r="F148" i="2"/>
  <c r="E148" i="2"/>
  <c r="D148" i="2"/>
  <c r="B148" i="2"/>
  <c r="N147" i="2"/>
  <c r="M147" i="2"/>
  <c r="L147" i="2"/>
  <c r="K147" i="2"/>
  <c r="J147" i="2"/>
  <c r="I147" i="2"/>
  <c r="H147" i="2"/>
  <c r="G147" i="2"/>
  <c r="F147" i="2"/>
  <c r="E147" i="2"/>
  <c r="D147" i="2"/>
  <c r="B147" i="2"/>
  <c r="B146" i="2"/>
  <c r="B143" i="2"/>
  <c r="B142" i="2"/>
  <c r="B141" i="2"/>
  <c r="B140" i="2"/>
  <c r="B139" i="2"/>
  <c r="B136" i="2"/>
  <c r="B135" i="2"/>
  <c r="B134" i="2"/>
  <c r="B133" i="2"/>
  <c r="B132" i="2"/>
  <c r="B129" i="2"/>
  <c r="B128" i="2"/>
  <c r="B96" i="2" s="1"/>
  <c r="B127" i="2"/>
  <c r="B92" i="2" s="1"/>
  <c r="B126" i="2"/>
  <c r="B122" i="2"/>
  <c r="N119" i="2"/>
  <c r="M119" i="2"/>
  <c r="L119" i="2"/>
  <c r="K119" i="2"/>
  <c r="J119" i="2"/>
  <c r="I119" i="2"/>
  <c r="H119" i="2"/>
  <c r="G119" i="2"/>
  <c r="F119" i="2"/>
  <c r="E119" i="2"/>
  <c r="D119" i="2"/>
  <c r="D151" i="2" s="1"/>
  <c r="D158" i="2" s="1"/>
  <c r="B119" i="2"/>
  <c r="N118" i="2"/>
  <c r="M118" i="2"/>
  <c r="L118" i="2"/>
  <c r="K118" i="2"/>
  <c r="J118" i="2"/>
  <c r="I118" i="2"/>
  <c r="H118" i="2"/>
  <c r="G118" i="2"/>
  <c r="F118" i="2"/>
  <c r="E118" i="2"/>
  <c r="C25" i="4" s="1"/>
  <c r="D118" i="2"/>
  <c r="B118" i="2"/>
  <c r="B109" i="2"/>
  <c r="B108" i="2"/>
  <c r="B103" i="2"/>
  <c r="D102" i="2"/>
  <c r="B102" i="2"/>
  <c r="B101" i="2"/>
  <c r="B98" i="2"/>
  <c r="B24" i="14" s="1"/>
  <c r="B95" i="2"/>
  <c r="B94" i="2"/>
  <c r="B93" i="2"/>
  <c r="D92" i="2"/>
  <c r="B91" i="2"/>
  <c r="B90" i="2"/>
  <c r="B83" i="2"/>
  <c r="D63" i="2"/>
  <c r="D30" i="2"/>
  <c r="D6" i="2"/>
  <c r="D5" i="2"/>
  <c r="B4" i="2"/>
  <c r="B87" i="2" s="1"/>
  <c r="B2" i="2"/>
  <c r="D302" i="1"/>
  <c r="D289" i="1"/>
  <c r="C285" i="1"/>
  <c r="D275" i="1"/>
  <c r="D274" i="1"/>
  <c r="D272" i="1"/>
  <c r="D263" i="1"/>
  <c r="D261" i="1"/>
  <c r="E260" i="1"/>
  <c r="D260" i="1"/>
  <c r="C202" i="1"/>
  <c r="C201" i="1"/>
  <c r="E200" i="1"/>
  <c r="D200" i="1"/>
  <c r="B198" i="1"/>
  <c r="N197" i="1"/>
  <c r="N198" i="1" s="1"/>
  <c r="N19" i="3" s="1"/>
  <c r="A195" i="1"/>
  <c r="A196" i="1" s="1"/>
  <c r="A197" i="1" s="1"/>
  <c r="A194" i="1"/>
  <c r="D191" i="1"/>
  <c r="D190" i="1"/>
  <c r="B181" i="1"/>
  <c r="E180" i="1"/>
  <c r="D180" i="1"/>
  <c r="E179" i="1"/>
  <c r="D179" i="1"/>
  <c r="E178" i="1"/>
  <c r="D178" i="1"/>
  <c r="A177" i="1"/>
  <c r="A178" i="1" s="1"/>
  <c r="A179" i="1" s="1"/>
  <c r="A180" i="1" s="1"/>
  <c r="E176" i="1"/>
  <c r="E186" i="1" s="1"/>
  <c r="D176" i="1"/>
  <c r="D186" i="1" s="1"/>
  <c r="D174" i="1"/>
  <c r="D173" i="1"/>
  <c r="D185" i="1" s="1"/>
  <c r="B162" i="1"/>
  <c r="A158" i="1"/>
  <c r="A159" i="1" s="1"/>
  <c r="A160" i="1" s="1"/>
  <c r="A161" i="1" s="1"/>
  <c r="E155" i="1"/>
  <c r="D155" i="1"/>
  <c r="E154" i="1"/>
  <c r="D154" i="1"/>
  <c r="E153" i="1"/>
  <c r="D153" i="1"/>
  <c r="A153" i="1"/>
  <c r="A154" i="1" s="1"/>
  <c r="A155" i="1" s="1"/>
  <c r="A156" i="1" s="1"/>
  <c r="A157" i="1" s="1"/>
  <c r="E152" i="1"/>
  <c r="D152" i="1"/>
  <c r="E150" i="1"/>
  <c r="D150" i="1"/>
  <c r="D149" i="1"/>
  <c r="D146" i="1"/>
  <c r="K145" i="1"/>
  <c r="H145" i="1"/>
  <c r="G145" i="1"/>
  <c r="D145" i="1"/>
  <c r="N142" i="1"/>
  <c r="K142" i="1"/>
  <c r="J142" i="1"/>
  <c r="G142" i="1"/>
  <c r="F142" i="1"/>
  <c r="D142" i="1"/>
  <c r="B142" i="1"/>
  <c r="A141" i="1"/>
  <c r="A140" i="1"/>
  <c r="N139" i="1"/>
  <c r="N145" i="1" s="1"/>
  <c r="M139" i="1"/>
  <c r="L139" i="1"/>
  <c r="L142" i="1" s="1"/>
  <c r="K139" i="1"/>
  <c r="J139" i="1"/>
  <c r="J145" i="1" s="1"/>
  <c r="I139" i="1"/>
  <c r="H139" i="1"/>
  <c r="H142" i="1" s="1"/>
  <c r="G139" i="1"/>
  <c r="F139" i="1"/>
  <c r="F145" i="1" s="1"/>
  <c r="E139" i="1"/>
  <c r="D136" i="1"/>
  <c r="E135" i="1"/>
  <c r="D135" i="1"/>
  <c r="E72" i="1"/>
  <c r="D72" i="1"/>
  <c r="N70" i="1"/>
  <c r="N67" i="5" s="1"/>
  <c r="M70" i="1"/>
  <c r="M67" i="5" s="1"/>
  <c r="L70" i="1"/>
  <c r="L67" i="5" s="1"/>
  <c r="K70" i="1"/>
  <c r="K67" i="5" s="1"/>
  <c r="J70" i="1"/>
  <c r="J67" i="5" s="1"/>
  <c r="I70" i="1"/>
  <c r="I67" i="5" s="1"/>
  <c r="H70" i="1"/>
  <c r="H67" i="5" s="1"/>
  <c r="G70" i="1"/>
  <c r="G67" i="5" s="1"/>
  <c r="F70" i="1"/>
  <c r="F67" i="5" s="1"/>
  <c r="E70" i="1"/>
  <c r="E67" i="5" s="1"/>
  <c r="D70" i="1"/>
  <c r="D67" i="5" s="1"/>
  <c r="B70" i="1"/>
  <c r="A66" i="1"/>
  <c r="A67" i="1" s="1"/>
  <c r="A68" i="1" s="1"/>
  <c r="A69" i="1" s="1"/>
  <c r="D63" i="1"/>
  <c r="D62" i="1"/>
  <c r="N60" i="1"/>
  <c r="M60" i="1"/>
  <c r="L60" i="1"/>
  <c r="K60" i="1"/>
  <c r="J60" i="1"/>
  <c r="I60" i="1"/>
  <c r="H60" i="1"/>
  <c r="G60" i="1"/>
  <c r="F60" i="1"/>
  <c r="E60" i="1"/>
  <c r="D60" i="1"/>
  <c r="B60" i="1"/>
  <c r="A58" i="1"/>
  <c r="A59" i="1" s="1"/>
  <c r="A56" i="1"/>
  <c r="A57" i="1" s="1"/>
  <c r="E53" i="1"/>
  <c r="D53" i="1"/>
  <c r="D52" i="1"/>
  <c r="D50" i="1"/>
  <c r="D59" i="5" s="1"/>
  <c r="B50" i="1"/>
  <c r="A42" i="1"/>
  <c r="A43" i="1" s="1"/>
  <c r="A44" i="1" s="1"/>
  <c r="A45" i="1" s="1"/>
  <c r="A46" i="1" s="1"/>
  <c r="A47" i="1" s="1"/>
  <c r="A48" i="1" s="1"/>
  <c r="A49" i="1" s="1"/>
  <c r="A41" i="1"/>
  <c r="D38" i="1"/>
  <c r="D37" i="1"/>
  <c r="N35" i="1"/>
  <c r="M35" i="1"/>
  <c r="L35" i="1"/>
  <c r="K35" i="1"/>
  <c r="J35" i="1"/>
  <c r="I35" i="1"/>
  <c r="H35" i="1"/>
  <c r="G35" i="1"/>
  <c r="F35" i="1"/>
  <c r="E35" i="1"/>
  <c r="D35" i="1"/>
  <c r="B35" i="1"/>
  <c r="A33" i="1"/>
  <c r="A34" i="1" s="1"/>
  <c r="D29" i="1"/>
  <c r="E28" i="1"/>
  <c r="D28" i="1"/>
  <c r="B23" i="1"/>
  <c r="B22" i="1"/>
  <c r="E20" i="1"/>
  <c r="F20" i="1" s="1"/>
  <c r="B19" i="1"/>
  <c r="B18" i="1"/>
  <c r="B17" i="1"/>
  <c r="B16" i="1"/>
  <c r="N15" i="1"/>
  <c r="M15" i="1"/>
  <c r="L15" i="1"/>
  <c r="K15" i="1"/>
  <c r="J15" i="1"/>
  <c r="I15" i="1"/>
  <c r="H15" i="1"/>
  <c r="G15" i="1"/>
  <c r="F15" i="1"/>
  <c r="E15" i="1"/>
  <c r="D15" i="1"/>
  <c r="B15" i="1"/>
  <c r="B14" i="1"/>
  <c r="B13" i="1"/>
  <c r="B12" i="1"/>
  <c r="F10" i="1"/>
  <c r="F53" i="1" s="1"/>
  <c r="E10" i="1"/>
  <c r="E63" i="1" s="1"/>
  <c r="E9" i="1"/>
  <c r="E37" i="1" s="1"/>
  <c r="B8" i="1"/>
  <c r="B6" i="1"/>
  <c r="E3" i="1"/>
  <c r="E2" i="1"/>
  <c r="G20" i="1" l="1"/>
  <c r="F40" i="1"/>
  <c r="F50" i="1" s="1"/>
  <c r="F59" i="5" s="1"/>
  <c r="B201" i="1"/>
  <c r="C206" i="1"/>
  <c r="D201" i="1"/>
  <c r="D25" i="4"/>
  <c r="E25" i="4" s="1"/>
  <c r="C11" i="4"/>
  <c r="P27" i="7"/>
  <c r="G28" i="7"/>
  <c r="G10" i="1"/>
  <c r="E40" i="1"/>
  <c r="E50" i="1" s="1"/>
  <c r="E59" i="5" s="1"/>
  <c r="G146" i="1"/>
  <c r="K146" i="1"/>
  <c r="H146" i="1"/>
  <c r="D169" i="1"/>
  <c r="D43" i="2" s="1"/>
  <c r="D95" i="2" s="1"/>
  <c r="B60" i="2"/>
  <c r="B22" i="2"/>
  <c r="B85" i="2"/>
  <c r="E51" i="3"/>
  <c r="E100" i="3"/>
  <c r="E142" i="1"/>
  <c r="E145" i="1"/>
  <c r="I142" i="1"/>
  <c r="I145" i="1"/>
  <c r="I28" i="2" s="1"/>
  <c r="I90" i="2" s="1"/>
  <c r="M142" i="1"/>
  <c r="M145" i="1"/>
  <c r="D65" i="2"/>
  <c r="D147" i="1"/>
  <c r="C207" i="1"/>
  <c r="C203" i="1"/>
  <c r="B202" i="1"/>
  <c r="O152" i="7"/>
  <c r="E16" i="6"/>
  <c r="F10" i="5"/>
  <c r="F275" i="1"/>
  <c r="F174" i="1"/>
  <c r="F150" i="1"/>
  <c r="F8" i="3"/>
  <c r="F200" i="1"/>
  <c r="F261" i="1"/>
  <c r="F63" i="1"/>
  <c r="F6" i="2"/>
  <c r="F72" i="1"/>
  <c r="F38" i="1"/>
  <c r="C73" i="1"/>
  <c r="D73" i="1" s="1"/>
  <c r="D130" i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H28" i="2"/>
  <c r="H90" i="2" s="1"/>
  <c r="E146" i="1"/>
  <c r="F191" i="1"/>
  <c r="N20" i="5"/>
  <c r="N264" i="1"/>
  <c r="E4" i="1"/>
  <c r="H8" i="2" s="1"/>
  <c r="E9" i="5"/>
  <c r="D15" i="6"/>
  <c r="E7" i="3"/>
  <c r="E274" i="1"/>
  <c r="E173" i="1"/>
  <c r="E5" i="2"/>
  <c r="E149" i="1"/>
  <c r="E62" i="1"/>
  <c r="F9" i="1"/>
  <c r="E190" i="1"/>
  <c r="F29" i="1"/>
  <c r="E52" i="1"/>
  <c r="F136" i="1"/>
  <c r="D28" i="2"/>
  <c r="D90" i="2" s="1"/>
  <c r="L145" i="1"/>
  <c r="B284" i="1"/>
  <c r="D292" i="1"/>
  <c r="F146" i="1"/>
  <c r="J146" i="1"/>
  <c r="N146" i="1"/>
  <c r="E169" i="1"/>
  <c r="E43" i="2" s="1"/>
  <c r="E95" i="2" s="1"/>
  <c r="D42" i="2"/>
  <c r="D94" i="2" s="1"/>
  <c r="D16" i="6"/>
  <c r="E10" i="5"/>
  <c r="E6" i="2"/>
  <c r="E261" i="1"/>
  <c r="E191" i="1"/>
  <c r="E275" i="1"/>
  <c r="E174" i="1"/>
  <c r="E29" i="1"/>
  <c r="E38" i="1"/>
  <c r="E136" i="1"/>
  <c r="D202" i="1"/>
  <c r="D206" i="1"/>
  <c r="D3" i="14"/>
  <c r="D117" i="2"/>
  <c r="B24" i="2"/>
  <c r="D88" i="2"/>
  <c r="D50" i="3"/>
  <c r="D99" i="3"/>
  <c r="D85" i="3"/>
  <c r="D34" i="3"/>
  <c r="D39" i="3"/>
  <c r="D207" i="1"/>
  <c r="D25" i="2"/>
  <c r="B62" i="2"/>
  <c r="B109" i="3"/>
  <c r="B82" i="3"/>
  <c r="D71" i="3"/>
  <c r="E23" i="4"/>
  <c r="D11" i="4"/>
  <c r="J113" i="7"/>
  <c r="O15" i="7"/>
  <c r="F16" i="7"/>
  <c r="K15" i="7"/>
  <c r="C27" i="6"/>
  <c r="D23" i="1" s="1"/>
  <c r="B110" i="5"/>
  <c r="D8" i="6"/>
  <c r="C23" i="6" s="1"/>
  <c r="D17" i="1" s="1"/>
  <c r="K14" i="7"/>
  <c r="O14" i="7"/>
  <c r="K113" i="7"/>
  <c r="P19" i="7"/>
  <c r="P23" i="7"/>
  <c r="K117" i="7"/>
  <c r="E7" i="6"/>
  <c r="E8" i="6" s="1"/>
  <c r="P20" i="7"/>
  <c r="P24" i="7"/>
  <c r="K114" i="7"/>
  <c r="K116" i="7"/>
  <c r="I114" i="7"/>
  <c r="I118" i="7"/>
  <c r="E165" i="7"/>
  <c r="E159" i="7" s="1"/>
  <c r="E173" i="7"/>
  <c r="E163" i="7" s="1"/>
  <c r="D163" i="7"/>
  <c r="C18" i="6"/>
  <c r="D12" i="1" s="1"/>
  <c r="C19" i="6"/>
  <c r="D13" i="1" s="1"/>
  <c r="C20" i="6"/>
  <c r="D14" i="1" s="1"/>
  <c r="C21" i="6"/>
  <c r="C22" i="6"/>
  <c r="D16" i="1" s="1"/>
  <c r="C24" i="6"/>
  <c r="C25" i="6"/>
  <c r="D19" i="1" s="1"/>
  <c r="C26" i="6"/>
  <c r="D22" i="1" s="1"/>
  <c r="H15" i="7"/>
  <c r="H113" i="7"/>
  <c r="H115" i="7"/>
  <c r="K154" i="7"/>
  <c r="E8" i="10"/>
  <c r="F8" i="10" s="1"/>
  <c r="G8" i="10" s="1"/>
  <c r="H8" i="10" s="1"/>
  <c r="D196" i="1" s="1"/>
  <c r="J114" i="7"/>
  <c r="J115" i="7"/>
  <c r="J116" i="7"/>
  <c r="J117" i="7"/>
  <c r="K118" i="7"/>
  <c r="J118" i="7"/>
  <c r="H122" i="7"/>
  <c r="C24" i="11" l="1"/>
  <c r="D156" i="1" s="1"/>
  <c r="D162" i="1" s="1"/>
  <c r="D12" i="10"/>
  <c r="D197" i="1" s="1"/>
  <c r="G6" i="10"/>
  <c r="H6" i="10" s="1"/>
  <c r="D193" i="1" s="1"/>
  <c r="G7" i="10"/>
  <c r="H7" i="10" s="1"/>
  <c r="D195" i="1" s="1"/>
  <c r="E203" i="1" s="1"/>
  <c r="G9" i="10"/>
  <c r="H9" i="10" s="1"/>
  <c r="D194" i="1" s="1"/>
  <c r="E3" i="14"/>
  <c r="E88" i="2"/>
  <c r="E25" i="2"/>
  <c r="E117" i="2"/>
  <c r="E63" i="2"/>
  <c r="J65" i="2"/>
  <c r="J147" i="1"/>
  <c r="L28" i="2"/>
  <c r="L90" i="2" s="1"/>
  <c r="L146" i="1"/>
  <c r="F9" i="5"/>
  <c r="E15" i="6"/>
  <c r="F7" i="3"/>
  <c r="F190" i="1"/>
  <c r="F173" i="1"/>
  <c r="G9" i="1"/>
  <c r="F274" i="1"/>
  <c r="F52" i="1"/>
  <c r="F62" i="1"/>
  <c r="F37" i="1"/>
  <c r="F149" i="1"/>
  <c r="F135" i="1"/>
  <c r="F260" i="1"/>
  <c r="F5" i="2"/>
  <c r="F28" i="1"/>
  <c r="E40" i="5"/>
  <c r="E56" i="5"/>
  <c r="K65" i="2"/>
  <c r="K147" i="1"/>
  <c r="G10" i="5"/>
  <c r="G8" i="3"/>
  <c r="G200" i="1"/>
  <c r="G6" i="2"/>
  <c r="G72" i="1"/>
  <c r="H10" i="1"/>
  <c r="G191" i="1"/>
  <c r="G53" i="1"/>
  <c r="G275" i="1"/>
  <c r="G174" i="1"/>
  <c r="G150" i="1"/>
  <c r="G29" i="1"/>
  <c r="G261" i="1"/>
  <c r="G38" i="1"/>
  <c r="F16" i="6"/>
  <c r="G63" i="1"/>
  <c r="G136" i="1"/>
  <c r="D16" i="11"/>
  <c r="C298" i="1"/>
  <c r="E290" i="1"/>
  <c r="F65" i="2"/>
  <c r="F147" i="1"/>
  <c r="H5" i="14"/>
  <c r="D8" i="2"/>
  <c r="F290" i="1"/>
  <c r="F303" i="1"/>
  <c r="C208" i="1"/>
  <c r="C204" i="1"/>
  <c r="B203" i="1"/>
  <c r="J8" i="2"/>
  <c r="G65" i="2"/>
  <c r="G147" i="1"/>
  <c r="G29" i="7"/>
  <c r="P28" i="7"/>
  <c r="K8" i="2"/>
  <c r="O16" i="7"/>
  <c r="F17" i="7"/>
  <c r="E206" i="1"/>
  <c r="E202" i="1"/>
  <c r="E201" i="1"/>
  <c r="E212" i="1"/>
  <c r="E204" i="1"/>
  <c r="E207" i="1"/>
  <c r="D35" i="6"/>
  <c r="D26" i="6"/>
  <c r="E22" i="1" s="1"/>
  <c r="D22" i="6"/>
  <c r="E16" i="1" s="1"/>
  <c r="D18" i="6"/>
  <c r="E12" i="1" s="1"/>
  <c r="D25" i="6"/>
  <c r="E19" i="1" s="1"/>
  <c r="D21" i="6"/>
  <c r="D24" i="6"/>
  <c r="D20" i="6"/>
  <c r="E14" i="1" s="1"/>
  <c r="E13" i="10" s="1"/>
  <c r="D27" i="6"/>
  <c r="E23" i="1" s="1"/>
  <c r="D23" i="6"/>
  <c r="E17" i="1" s="1"/>
  <c r="E12" i="10" s="1"/>
  <c r="E197" i="1" s="1"/>
  <c r="E198" i="1" s="1"/>
  <c r="D19" i="6"/>
  <c r="E13" i="1" s="1"/>
  <c r="L8" i="2"/>
  <c r="E99" i="3"/>
  <c r="E71" i="3"/>
  <c r="E39" i="3"/>
  <c r="E50" i="3"/>
  <c r="E34" i="3"/>
  <c r="E85" i="3"/>
  <c r="E76" i="3"/>
  <c r="M146" i="1"/>
  <c r="J28" i="2"/>
  <c r="J90" i="2" s="1"/>
  <c r="F3" i="14"/>
  <c r="F63" i="2"/>
  <c r="F25" i="2"/>
  <c r="F117" i="2"/>
  <c r="F88" i="2"/>
  <c r="F100" i="3"/>
  <c r="F51" i="3"/>
  <c r="F41" i="5"/>
  <c r="F57" i="5"/>
  <c r="C212" i="1"/>
  <c r="B207" i="1"/>
  <c r="M28" i="2"/>
  <c r="M90" i="2" s="1"/>
  <c r="E28" i="2"/>
  <c r="E90" i="2" s="1"/>
  <c r="N8" i="2"/>
  <c r="C211" i="1"/>
  <c r="B206" i="1"/>
  <c r="N28" i="2"/>
  <c r="N90" i="2" s="1"/>
  <c r="G8" i="2"/>
  <c r="G40" i="1"/>
  <c r="G50" i="1" s="1"/>
  <c r="G59" i="5" s="1"/>
  <c r="H20" i="1"/>
  <c r="C51" i="6"/>
  <c r="C52" i="6" s="1"/>
  <c r="C47" i="6"/>
  <c r="C48" i="6" s="1"/>
  <c r="C43" i="6"/>
  <c r="C44" i="6" s="1"/>
  <c r="D83" i="2" s="1"/>
  <c r="D81" i="2" s="1"/>
  <c r="D18" i="1"/>
  <c r="E11" i="4"/>
  <c r="E57" i="5"/>
  <c r="E41" i="5"/>
  <c r="F201" i="1"/>
  <c r="F212" i="1"/>
  <c r="F204" i="1"/>
  <c r="F206" i="1"/>
  <c r="F207" i="1"/>
  <c r="F202" i="1"/>
  <c r="F211" i="1"/>
  <c r="F203" i="1"/>
  <c r="I8" i="2"/>
  <c r="H65" i="2"/>
  <c r="H147" i="1"/>
  <c r="H16" i="7"/>
  <c r="Q15" i="7"/>
  <c r="F7" i="6"/>
  <c r="F8" i="6"/>
  <c r="E23" i="6" s="1"/>
  <c r="F17" i="1" s="1"/>
  <c r="F12" i="10" s="1"/>
  <c r="F197" i="1" s="1"/>
  <c r="F198" i="1" s="1"/>
  <c r="D3" i="12"/>
  <c r="D203" i="1"/>
  <c r="N65" i="2"/>
  <c r="N147" i="1"/>
  <c r="I146" i="1"/>
  <c r="N73" i="2"/>
  <c r="E65" i="2"/>
  <c r="E147" i="1"/>
  <c r="F28" i="2"/>
  <c r="F90" i="2" s="1"/>
  <c r="B73" i="1"/>
  <c r="C78" i="1"/>
  <c r="C74" i="1"/>
  <c r="F73" i="1"/>
  <c r="F74" i="1"/>
  <c r="E25" i="6"/>
  <c r="F19" i="1" s="1"/>
  <c r="E21" i="6"/>
  <c r="E24" i="6"/>
  <c r="E20" i="6"/>
  <c r="F14" i="1" s="1"/>
  <c r="E35" i="6"/>
  <c r="E27" i="6"/>
  <c r="F23" i="1" s="1"/>
  <c r="E19" i="6"/>
  <c r="F13" i="1" s="1"/>
  <c r="E26" i="6"/>
  <c r="F22" i="1" s="1"/>
  <c r="E18" i="6"/>
  <c r="F12" i="1" s="1"/>
  <c r="M8" i="2"/>
  <c r="E8" i="2"/>
  <c r="E73" i="1"/>
  <c r="F8" i="2"/>
  <c r="G28" i="2"/>
  <c r="G90" i="2" s="1"/>
  <c r="K28" i="2"/>
  <c r="K90" i="2" s="1"/>
  <c r="F20" i="5" l="1"/>
  <c r="F264" i="1"/>
  <c r="F73" i="2"/>
  <c r="F19" i="3"/>
  <c r="M5" i="14"/>
  <c r="C83" i="1"/>
  <c r="B78" i="1"/>
  <c r="D78" i="1"/>
  <c r="E78" i="1"/>
  <c r="D14" i="2"/>
  <c r="D132" i="2" s="1"/>
  <c r="D133" i="2" s="1"/>
  <c r="D68" i="2"/>
  <c r="E20" i="5"/>
  <c r="E19" i="3"/>
  <c r="E73" i="2"/>
  <c r="E264" i="1"/>
  <c r="K5" i="14"/>
  <c r="G100" i="3"/>
  <c r="G51" i="3"/>
  <c r="F5" i="14"/>
  <c r="F78" i="1"/>
  <c r="G7" i="6"/>
  <c r="E33" i="11"/>
  <c r="E28" i="11"/>
  <c r="J5" i="14"/>
  <c r="G290" i="1"/>
  <c r="G303" i="1"/>
  <c r="G41" i="5"/>
  <c r="G57" i="5"/>
  <c r="F99" i="3"/>
  <c r="F85" i="3"/>
  <c r="F76" i="3"/>
  <c r="F50" i="3"/>
  <c r="F39" i="3"/>
  <c r="F71" i="3"/>
  <c r="F34" i="3"/>
  <c r="D198" i="1"/>
  <c r="D295" i="1"/>
  <c r="C216" i="1"/>
  <c r="B211" i="1"/>
  <c r="D211" i="1"/>
  <c r="M65" i="2"/>
  <c r="M147" i="1"/>
  <c r="L5" i="14"/>
  <c r="F13" i="10"/>
  <c r="E35" i="11"/>
  <c r="E29" i="11"/>
  <c r="E30" i="11"/>
  <c r="E36" i="11"/>
  <c r="E37" i="11"/>
  <c r="E31" i="11"/>
  <c r="P29" i="7"/>
  <c r="G30" i="7"/>
  <c r="E305" i="1"/>
  <c r="G83" i="1"/>
  <c r="G73" i="1"/>
  <c r="G78" i="1"/>
  <c r="G74" i="1"/>
  <c r="G3" i="14"/>
  <c r="G117" i="2"/>
  <c r="G88" i="2"/>
  <c r="G63" i="2"/>
  <c r="G25" i="2"/>
  <c r="F15" i="6"/>
  <c r="G7" i="3"/>
  <c r="G5" i="2"/>
  <c r="G260" i="1"/>
  <c r="G190" i="1"/>
  <c r="G274" i="1"/>
  <c r="G52" i="1"/>
  <c r="G9" i="5"/>
  <c r="G135" i="1"/>
  <c r="G37" i="1"/>
  <c r="G28" i="1"/>
  <c r="G173" i="1"/>
  <c r="G149" i="1"/>
  <c r="G62" i="1"/>
  <c r="H9" i="1"/>
  <c r="B208" i="1"/>
  <c r="C213" i="1"/>
  <c r="D208" i="1"/>
  <c r="E16" i="11"/>
  <c r="D20" i="11"/>
  <c r="D22" i="11" s="1"/>
  <c r="D24" i="11" s="1"/>
  <c r="E156" i="1" s="1"/>
  <c r="E162" i="1" s="1"/>
  <c r="G16" i="6"/>
  <c r="H10" i="5"/>
  <c r="H8" i="3"/>
  <c r="H6" i="2"/>
  <c r="H261" i="1"/>
  <c r="H191" i="1"/>
  <c r="H53" i="1"/>
  <c r="I10" i="1"/>
  <c r="H174" i="1"/>
  <c r="H150" i="1"/>
  <c r="H136" i="1"/>
  <c r="H38" i="1"/>
  <c r="H29" i="1"/>
  <c r="H200" i="1"/>
  <c r="H63" i="1"/>
  <c r="H72" i="1"/>
  <c r="H275" i="1"/>
  <c r="L65" i="2"/>
  <c r="L147" i="1"/>
  <c r="E51" i="6"/>
  <c r="E52" i="6" s="1"/>
  <c r="F295" i="1" s="1"/>
  <c r="F308" i="1" s="1"/>
  <c r="E47" i="6"/>
  <c r="E48" i="6" s="1"/>
  <c r="E43" i="6"/>
  <c r="E44" i="6" s="1"/>
  <c r="F83" i="2" s="1"/>
  <c r="F18" i="1"/>
  <c r="F208" i="1"/>
  <c r="E208" i="1"/>
  <c r="O17" i="7"/>
  <c r="F18" i="7"/>
  <c r="B297" i="1"/>
  <c r="D303" i="1"/>
  <c r="D305" i="1"/>
  <c r="D280" i="1" s="1"/>
  <c r="E22" i="6"/>
  <c r="F16" i="1" s="1"/>
  <c r="I65" i="2"/>
  <c r="I147" i="1"/>
  <c r="C79" i="1"/>
  <c r="C75" i="1"/>
  <c r="B74" i="1"/>
  <c r="D74" i="1"/>
  <c r="E74" i="1"/>
  <c r="D4" i="12"/>
  <c r="E3" i="12"/>
  <c r="Q16" i="7"/>
  <c r="H17" i="7"/>
  <c r="K17" i="7" s="1"/>
  <c r="I5" i="14"/>
  <c r="H40" i="1"/>
  <c r="H50" i="1" s="1"/>
  <c r="H59" i="5" s="1"/>
  <c r="I20" i="1"/>
  <c r="G5" i="14"/>
  <c r="N5" i="14"/>
  <c r="B212" i="1"/>
  <c r="C217" i="1"/>
  <c r="D212" i="1"/>
  <c r="D51" i="6"/>
  <c r="D52" i="6" s="1"/>
  <c r="E295" i="1" s="1"/>
  <c r="E308" i="1" s="1"/>
  <c r="D47" i="6"/>
  <c r="D48" i="6" s="1"/>
  <c r="D43" i="6"/>
  <c r="D44" i="6" s="1"/>
  <c r="E83" i="2" s="1"/>
  <c r="E18" i="1"/>
  <c r="E211" i="1"/>
  <c r="K16" i="7"/>
  <c r="B204" i="1"/>
  <c r="C205" i="1"/>
  <c r="C209" i="1"/>
  <c r="D204" i="1"/>
  <c r="F24" i="6"/>
  <c r="F20" i="6"/>
  <c r="G14" i="1" s="1"/>
  <c r="F35" i="6"/>
  <c r="F27" i="6"/>
  <c r="G23" i="1" s="1"/>
  <c r="F19" i="6"/>
  <c r="G13" i="1" s="1"/>
  <c r="F26" i="6"/>
  <c r="G22" i="1" s="1"/>
  <c r="F22" i="6"/>
  <c r="G16" i="1" s="1"/>
  <c r="F18" i="6"/>
  <c r="G12" i="1" s="1"/>
  <c r="F25" i="6"/>
  <c r="G19" i="1" s="1"/>
  <c r="F21" i="6"/>
  <c r="G212" i="1"/>
  <c r="G208" i="1"/>
  <c r="G204" i="1"/>
  <c r="G211" i="1"/>
  <c r="G207" i="1"/>
  <c r="G203" i="1"/>
  <c r="G217" i="1"/>
  <c r="G209" i="1"/>
  <c r="G201" i="1"/>
  <c r="G202" i="1"/>
  <c r="G205" i="1"/>
  <c r="G213" i="1"/>
  <c r="G206" i="1"/>
  <c r="F40" i="5"/>
  <c r="F56" i="5"/>
  <c r="D12" i="5"/>
  <c r="D15" i="5" s="1"/>
  <c r="D17" i="5" s="1"/>
  <c r="D166" i="1"/>
  <c r="D29" i="2" s="1"/>
  <c r="D91" i="2" s="1"/>
  <c r="D9" i="2"/>
  <c r="D10" i="3" s="1"/>
  <c r="B205" i="1" l="1"/>
  <c r="C210" i="1"/>
  <c r="D205" i="1"/>
  <c r="E205" i="1"/>
  <c r="F205" i="1"/>
  <c r="E12" i="5"/>
  <c r="E167" i="1"/>
  <c r="E9" i="2"/>
  <c r="E166" i="1"/>
  <c r="E29" i="2" s="1"/>
  <c r="E91" i="2" s="1"/>
  <c r="F29" i="11"/>
  <c r="F153" i="1"/>
  <c r="D20" i="5"/>
  <c r="D42" i="5" s="1"/>
  <c r="D19" i="3"/>
  <c r="D73" i="2"/>
  <c r="D264" i="1"/>
  <c r="D258" i="1"/>
  <c r="F3" i="12"/>
  <c r="E4" i="12"/>
  <c r="F16" i="11"/>
  <c r="E20" i="11"/>
  <c r="E22" i="11" s="1"/>
  <c r="E24" i="11" s="1"/>
  <c r="F156" i="1" s="1"/>
  <c r="G56" i="5"/>
  <c r="G40" i="5"/>
  <c r="F37" i="11"/>
  <c r="F180" i="1"/>
  <c r="B216" i="1"/>
  <c r="C221" i="1"/>
  <c r="D216" i="1"/>
  <c r="F216" i="1"/>
  <c r="E216" i="1"/>
  <c r="C80" i="1"/>
  <c r="C76" i="1"/>
  <c r="B75" i="1"/>
  <c r="D75" i="1"/>
  <c r="E75" i="1"/>
  <c r="F75" i="1"/>
  <c r="D304" i="1"/>
  <c r="H211" i="1"/>
  <c r="H207" i="1"/>
  <c r="H203" i="1"/>
  <c r="H214" i="1"/>
  <c r="H206" i="1"/>
  <c r="H202" i="1"/>
  <c r="H212" i="1"/>
  <c r="H204" i="1"/>
  <c r="H221" i="1"/>
  <c r="H213" i="1"/>
  <c r="H205" i="1"/>
  <c r="H216" i="1"/>
  <c r="H217" i="1"/>
  <c r="H201" i="1"/>
  <c r="H208" i="1"/>
  <c r="H209" i="1"/>
  <c r="H57" i="5"/>
  <c r="H41" i="5"/>
  <c r="G15" i="6"/>
  <c r="H9" i="5"/>
  <c r="H5" i="2"/>
  <c r="H260" i="1"/>
  <c r="H190" i="1"/>
  <c r="H274" i="1"/>
  <c r="H173" i="1"/>
  <c r="H135" i="1"/>
  <c r="H37" i="1"/>
  <c r="H28" i="1"/>
  <c r="H7" i="3"/>
  <c r="H149" i="1"/>
  <c r="H62" i="1"/>
  <c r="H52" i="1"/>
  <c r="I9" i="1"/>
  <c r="G75" i="1"/>
  <c r="G31" i="7"/>
  <c r="P30" i="7"/>
  <c r="F36" i="11"/>
  <c r="F179" i="1"/>
  <c r="G13" i="10"/>
  <c r="D308" i="1"/>
  <c r="D306" i="1" s="1"/>
  <c r="D293" i="1"/>
  <c r="D281" i="1" s="1"/>
  <c r="D282" i="1" s="1"/>
  <c r="D74" i="2" s="1"/>
  <c r="F28" i="11"/>
  <c r="F152" i="1"/>
  <c r="H7" i="6"/>
  <c r="D135" i="2"/>
  <c r="E134" i="2"/>
  <c r="I10" i="5"/>
  <c r="I8" i="3"/>
  <c r="I6" i="2"/>
  <c r="I261" i="1"/>
  <c r="I191" i="1"/>
  <c r="H16" i="6"/>
  <c r="I275" i="1"/>
  <c r="I174" i="1"/>
  <c r="I150" i="1"/>
  <c r="I136" i="1"/>
  <c r="I38" i="1"/>
  <c r="I29" i="1"/>
  <c r="I200" i="1"/>
  <c r="I63" i="1"/>
  <c r="I53" i="1"/>
  <c r="J10" i="1"/>
  <c r="I72" i="1"/>
  <c r="H3" i="14"/>
  <c r="H117" i="2"/>
  <c r="H25" i="2"/>
  <c r="H88" i="2"/>
  <c r="H63" i="2"/>
  <c r="F31" i="11"/>
  <c r="F155" i="1"/>
  <c r="B217" i="1"/>
  <c r="C222" i="1"/>
  <c r="D217" i="1"/>
  <c r="E217" i="1"/>
  <c r="F217" i="1"/>
  <c r="D54" i="3"/>
  <c r="H83" i="1"/>
  <c r="H79" i="1"/>
  <c r="H75" i="1"/>
  <c r="H78" i="1"/>
  <c r="H74" i="1"/>
  <c r="H76" i="1"/>
  <c r="H73" i="1"/>
  <c r="H80" i="1"/>
  <c r="H100" i="3"/>
  <c r="H51" i="3"/>
  <c r="F35" i="11"/>
  <c r="F178" i="1"/>
  <c r="D167" i="1"/>
  <c r="G216" i="1"/>
  <c r="F47" i="6"/>
  <c r="F48" i="6" s="1"/>
  <c r="F43" i="6"/>
  <c r="F44" i="6" s="1"/>
  <c r="G83" i="2" s="1"/>
  <c r="F51" i="6"/>
  <c r="F52" i="6" s="1"/>
  <c r="G295" i="1" s="1"/>
  <c r="G308" i="1" s="1"/>
  <c r="G18" i="1"/>
  <c r="B209" i="1"/>
  <c r="C214" i="1"/>
  <c r="D209" i="1"/>
  <c r="E209" i="1"/>
  <c r="F209" i="1"/>
  <c r="J20" i="1"/>
  <c r="I40" i="1"/>
  <c r="I50" i="1" s="1"/>
  <c r="I59" i="5" s="1"/>
  <c r="H18" i="7"/>
  <c r="Q17" i="7"/>
  <c r="C84" i="1"/>
  <c r="B79" i="1"/>
  <c r="D79" i="1"/>
  <c r="E79" i="1"/>
  <c r="F79" i="1"/>
  <c r="K18" i="7"/>
  <c r="O18" i="7"/>
  <c r="F19" i="7"/>
  <c r="H290" i="1"/>
  <c r="H303" i="1"/>
  <c r="G27" i="6"/>
  <c r="H23" i="1" s="1"/>
  <c r="G26" i="6"/>
  <c r="H22" i="1" s="1"/>
  <c r="G25" i="6"/>
  <c r="H19" i="1" s="1"/>
  <c r="G24" i="6"/>
  <c r="G22" i="6"/>
  <c r="H16" i="1" s="1"/>
  <c r="G21" i="6"/>
  <c r="G20" i="6"/>
  <c r="H14" i="1" s="1"/>
  <c r="G19" i="6"/>
  <c r="H13" i="1" s="1"/>
  <c r="G18" i="6"/>
  <c r="H12" i="1" s="1"/>
  <c r="G35" i="6"/>
  <c r="B213" i="1"/>
  <c r="C218" i="1"/>
  <c r="H218" i="1" s="1"/>
  <c r="D213" i="1"/>
  <c r="E213" i="1"/>
  <c r="F213" i="1"/>
  <c r="G85" i="3"/>
  <c r="G76" i="3"/>
  <c r="G71" i="3"/>
  <c r="G34" i="3"/>
  <c r="G39" i="3"/>
  <c r="G99" i="3"/>
  <c r="G50" i="3"/>
  <c r="G79" i="1"/>
  <c r="F30" i="11"/>
  <c r="F154" i="1"/>
  <c r="F33" i="11"/>
  <c r="F176" i="1"/>
  <c r="G8" i="6"/>
  <c r="F23" i="6" s="1"/>
  <c r="G17" i="1" s="1"/>
  <c r="C88" i="1"/>
  <c r="B83" i="1"/>
  <c r="D83" i="1"/>
  <c r="E83" i="1"/>
  <c r="F83" i="1"/>
  <c r="F186" i="1" l="1"/>
  <c r="G30" i="11"/>
  <c r="G154" i="1"/>
  <c r="I222" i="1"/>
  <c r="I218" i="1"/>
  <c r="I214" i="1"/>
  <c r="I210" i="1"/>
  <c r="I206" i="1"/>
  <c r="I202" i="1"/>
  <c r="I221" i="1"/>
  <c r="I217" i="1"/>
  <c r="I213" i="1"/>
  <c r="I209" i="1"/>
  <c r="I205" i="1"/>
  <c r="I201" i="1"/>
  <c r="I215" i="1"/>
  <c r="I207" i="1"/>
  <c r="I216" i="1"/>
  <c r="I208" i="1"/>
  <c r="I211" i="1"/>
  <c r="I204" i="1"/>
  <c r="I212" i="1"/>
  <c r="I203" i="1"/>
  <c r="I7" i="6"/>
  <c r="I8" i="6" s="1"/>
  <c r="H23" i="6" s="1"/>
  <c r="I17" i="1" s="1"/>
  <c r="I12" i="10" s="1"/>
  <c r="I197" i="1" s="1"/>
  <c r="I198" i="1" s="1"/>
  <c r="B80" i="1"/>
  <c r="C85" i="1"/>
  <c r="D80" i="1"/>
  <c r="E80" i="1"/>
  <c r="F80" i="1"/>
  <c r="G80" i="1"/>
  <c r="G37" i="11"/>
  <c r="G180" i="1"/>
  <c r="E11" i="14"/>
  <c r="E10" i="3"/>
  <c r="H8" i="6"/>
  <c r="G23" i="6" s="1"/>
  <c r="H17" i="1" s="1"/>
  <c r="H12" i="10" s="1"/>
  <c r="H197" i="1" s="1"/>
  <c r="H198" i="1" s="1"/>
  <c r="G36" i="11"/>
  <c r="G179" i="1"/>
  <c r="I9" i="5"/>
  <c r="I274" i="1"/>
  <c r="I173" i="1"/>
  <c r="I149" i="1"/>
  <c r="H15" i="6"/>
  <c r="I62" i="1"/>
  <c r="I7" i="3"/>
  <c r="I260" i="1"/>
  <c r="J9" i="1"/>
  <c r="I5" i="2"/>
  <c r="I190" i="1"/>
  <c r="I135" i="1"/>
  <c r="I28" i="1"/>
  <c r="I52" i="1"/>
  <c r="I37" i="1"/>
  <c r="E168" i="1"/>
  <c r="E41" i="2" s="1"/>
  <c r="E93" i="2" s="1"/>
  <c r="E170" i="1"/>
  <c r="B88" i="1"/>
  <c r="C93" i="1"/>
  <c r="E88" i="1"/>
  <c r="D88" i="1"/>
  <c r="F88" i="1"/>
  <c r="G88" i="1"/>
  <c r="G47" i="6"/>
  <c r="G48" i="6" s="1"/>
  <c r="G43" i="6"/>
  <c r="G44" i="6" s="1"/>
  <c r="H83" i="2" s="1"/>
  <c r="G51" i="6"/>
  <c r="G52" i="6" s="1"/>
  <c r="H18" i="1"/>
  <c r="O19" i="7"/>
  <c r="F20" i="7"/>
  <c r="B84" i="1"/>
  <c r="C89" i="1"/>
  <c r="E84" i="1"/>
  <c r="D84" i="1"/>
  <c r="F84" i="1"/>
  <c r="G84" i="1"/>
  <c r="K20" i="1"/>
  <c r="J40" i="1"/>
  <c r="J50" i="1" s="1"/>
  <c r="J59" i="5" s="1"/>
  <c r="G35" i="11"/>
  <c r="G178" i="1"/>
  <c r="C227" i="1"/>
  <c r="B222" i="1"/>
  <c r="D222" i="1"/>
  <c r="F222" i="1"/>
  <c r="E222" i="1"/>
  <c r="G222" i="1"/>
  <c r="G31" i="11"/>
  <c r="G155" i="1"/>
  <c r="I303" i="1"/>
  <c r="I290" i="1"/>
  <c r="I3" i="14"/>
  <c r="I117" i="2"/>
  <c r="I88" i="2"/>
  <c r="I63" i="2"/>
  <c r="I25" i="2"/>
  <c r="F169" i="1"/>
  <c r="F43" i="2" s="1"/>
  <c r="F95" i="2" s="1"/>
  <c r="F162" i="1"/>
  <c r="H56" i="5"/>
  <c r="H40" i="5"/>
  <c r="H222" i="1"/>
  <c r="G29" i="11"/>
  <c r="G153" i="1"/>
  <c r="Q18" i="7"/>
  <c r="H19" i="7"/>
  <c r="K19" i="7" s="1"/>
  <c r="I57" i="5"/>
  <c r="I41" i="5"/>
  <c r="D56" i="3"/>
  <c r="D57" i="3" s="1"/>
  <c r="D15" i="2"/>
  <c r="D139" i="2" s="1"/>
  <c r="D140" i="2" s="1"/>
  <c r="G16" i="11"/>
  <c r="F20" i="11"/>
  <c r="F22" i="11" s="1"/>
  <c r="F24" i="11" s="1"/>
  <c r="G156" i="1" s="1"/>
  <c r="E258" i="1"/>
  <c r="D33" i="2"/>
  <c r="G33" i="11"/>
  <c r="G176" i="1"/>
  <c r="C223" i="1"/>
  <c r="B218" i="1"/>
  <c r="D218" i="1"/>
  <c r="E218" i="1"/>
  <c r="F218" i="1"/>
  <c r="G218" i="1"/>
  <c r="I16" i="6"/>
  <c r="J10" i="5"/>
  <c r="J275" i="1"/>
  <c r="J174" i="1"/>
  <c r="J150" i="1"/>
  <c r="J200" i="1"/>
  <c r="J191" i="1"/>
  <c r="J63" i="1"/>
  <c r="J8" i="3"/>
  <c r="J72" i="1"/>
  <c r="J261" i="1"/>
  <c r="J38" i="1"/>
  <c r="J29" i="1"/>
  <c r="J6" i="2"/>
  <c r="J136" i="1"/>
  <c r="J53" i="1"/>
  <c r="K10" i="1"/>
  <c r="D22" i="5"/>
  <c r="D94" i="5" s="1"/>
  <c r="H50" i="3"/>
  <c r="H71" i="3"/>
  <c r="H34" i="3"/>
  <c r="H76" i="3"/>
  <c r="H39" i="3"/>
  <c r="H99" i="3"/>
  <c r="H85" i="3"/>
  <c r="B221" i="1"/>
  <c r="C226" i="1"/>
  <c r="I226" i="1" s="1"/>
  <c r="D221" i="1"/>
  <c r="E221" i="1"/>
  <c r="F221" i="1"/>
  <c r="G221" i="1"/>
  <c r="C215" i="1"/>
  <c r="B210" i="1"/>
  <c r="D210" i="1"/>
  <c r="F210" i="1"/>
  <c r="E210" i="1"/>
  <c r="G210" i="1"/>
  <c r="C219" i="1"/>
  <c r="B214" i="1"/>
  <c r="D214" i="1"/>
  <c r="E214" i="1"/>
  <c r="F214" i="1"/>
  <c r="G214" i="1"/>
  <c r="D168" i="1"/>
  <c r="D41" i="2" s="1"/>
  <c r="D93" i="2" s="1"/>
  <c r="D170" i="1"/>
  <c r="H88" i="1"/>
  <c r="H84" i="1"/>
  <c r="I78" i="1"/>
  <c r="I74" i="1"/>
  <c r="I93" i="1"/>
  <c r="I85" i="1"/>
  <c r="I81" i="1"/>
  <c r="I73" i="1"/>
  <c r="I79" i="1"/>
  <c r="I83" i="1"/>
  <c r="I75" i="1"/>
  <c r="I84" i="1"/>
  <c r="I88" i="1"/>
  <c r="I80" i="1"/>
  <c r="I76" i="1"/>
  <c r="H35" i="6"/>
  <c r="H27" i="6"/>
  <c r="I23" i="1" s="1"/>
  <c r="H19" i="6"/>
  <c r="I13" i="1" s="1"/>
  <c r="H26" i="6"/>
  <c r="I22" i="1" s="1"/>
  <c r="H18" i="6"/>
  <c r="I12" i="1" s="1"/>
  <c r="H25" i="6"/>
  <c r="I19" i="1" s="1"/>
  <c r="H24" i="6"/>
  <c r="H21" i="6"/>
  <c r="H20" i="6"/>
  <c r="I14" i="1" s="1"/>
  <c r="I51" i="3"/>
  <c r="I100" i="3"/>
  <c r="G28" i="11"/>
  <c r="G152" i="1"/>
  <c r="H13" i="10"/>
  <c r="G11" i="10"/>
  <c r="G12" i="10" s="1"/>
  <c r="G197" i="1" s="1"/>
  <c r="G198" i="1" s="1"/>
  <c r="P31" i="7"/>
  <c r="G32" i="7"/>
  <c r="H210" i="1"/>
  <c r="B76" i="1"/>
  <c r="C77" i="1"/>
  <c r="I77" i="1" s="1"/>
  <c r="C81" i="1"/>
  <c r="E76" i="1"/>
  <c r="D76" i="1"/>
  <c r="F76" i="1"/>
  <c r="G76" i="1"/>
  <c r="G3" i="12"/>
  <c r="F4" i="12"/>
  <c r="I20" i="5" l="1"/>
  <c r="I19" i="3"/>
  <c r="I73" i="2"/>
  <c r="I264" i="1"/>
  <c r="H31" i="11"/>
  <c r="H155" i="1"/>
  <c r="B89" i="1"/>
  <c r="C94" i="1"/>
  <c r="E89" i="1"/>
  <c r="D89" i="1"/>
  <c r="F89" i="1"/>
  <c r="G89" i="1"/>
  <c r="H89" i="1"/>
  <c r="E71" i="2"/>
  <c r="E171" i="1"/>
  <c r="H36" i="11"/>
  <c r="H179" i="1"/>
  <c r="D171" i="1"/>
  <c r="D71" i="2"/>
  <c r="J3" i="14"/>
  <c r="J117" i="2"/>
  <c r="J88" i="2"/>
  <c r="J63" i="2"/>
  <c r="J25" i="2"/>
  <c r="E141" i="2"/>
  <c r="E102" i="2" s="1"/>
  <c r="D142" i="2"/>
  <c r="D103" i="2" s="1"/>
  <c r="H20" i="5"/>
  <c r="H19" i="3"/>
  <c r="H73" i="2"/>
  <c r="H264" i="1"/>
  <c r="H3" i="12"/>
  <c r="G4" i="12"/>
  <c r="H22" i="6"/>
  <c r="I16" i="1" s="1"/>
  <c r="C220" i="1"/>
  <c r="B215" i="1"/>
  <c r="D215" i="1"/>
  <c r="F215" i="1"/>
  <c r="E215" i="1"/>
  <c r="G215" i="1"/>
  <c r="H215" i="1"/>
  <c r="J16" i="6"/>
  <c r="K10" i="5"/>
  <c r="K8" i="3"/>
  <c r="K200" i="1"/>
  <c r="K174" i="1"/>
  <c r="K150" i="1"/>
  <c r="K72" i="1"/>
  <c r="K275" i="1"/>
  <c r="K261" i="1"/>
  <c r="K53" i="1"/>
  <c r="L10" i="1"/>
  <c r="K63" i="1"/>
  <c r="K6" i="2"/>
  <c r="K191" i="1"/>
  <c r="K136" i="1"/>
  <c r="K29" i="1"/>
  <c r="K38" i="1"/>
  <c r="J100" i="3"/>
  <c r="J51" i="3"/>
  <c r="I26" i="6"/>
  <c r="J22" i="1" s="1"/>
  <c r="I18" i="6"/>
  <c r="J12" i="1" s="1"/>
  <c r="I25" i="6"/>
  <c r="J19" i="1" s="1"/>
  <c r="I21" i="6"/>
  <c r="I27" i="6"/>
  <c r="J23" i="1" s="1"/>
  <c r="I24" i="6"/>
  <c r="I23" i="6"/>
  <c r="J17" i="1" s="1"/>
  <c r="I20" i="6"/>
  <c r="J14" i="1" s="1"/>
  <c r="I19" i="6"/>
  <c r="J13" i="1" s="1"/>
  <c r="I35" i="6"/>
  <c r="G186" i="1"/>
  <c r="H29" i="11"/>
  <c r="H153" i="1"/>
  <c r="C232" i="1"/>
  <c r="B227" i="1"/>
  <c r="D227" i="1"/>
  <c r="E227" i="1"/>
  <c r="F227" i="1"/>
  <c r="G227" i="1"/>
  <c r="H227" i="1"/>
  <c r="H295" i="1"/>
  <c r="H308" i="1" s="1"/>
  <c r="B93" i="1"/>
  <c r="C98" i="1"/>
  <c r="D93" i="1"/>
  <c r="E93" i="1"/>
  <c r="F93" i="1"/>
  <c r="G93" i="1"/>
  <c r="H93" i="1"/>
  <c r="J9" i="5"/>
  <c r="J7" i="3"/>
  <c r="I15" i="6"/>
  <c r="J260" i="1"/>
  <c r="J149" i="1"/>
  <c r="K9" i="1"/>
  <c r="J5" i="2"/>
  <c r="J52" i="1"/>
  <c r="J190" i="1"/>
  <c r="J135" i="1"/>
  <c r="J28" i="1"/>
  <c r="J62" i="1"/>
  <c r="J37" i="1"/>
  <c r="J274" i="1"/>
  <c r="J173" i="1"/>
  <c r="I40" i="5"/>
  <c r="I56" i="5"/>
  <c r="H37" i="11"/>
  <c r="H180" i="1"/>
  <c r="B77" i="1"/>
  <c r="C82" i="1"/>
  <c r="D77" i="1"/>
  <c r="E77" i="1"/>
  <c r="F77" i="1"/>
  <c r="G77" i="1"/>
  <c r="H77" i="1"/>
  <c r="G33" i="7"/>
  <c r="P32" i="7"/>
  <c r="G169" i="1"/>
  <c r="G43" i="2" s="1"/>
  <c r="G95" i="2" s="1"/>
  <c r="G162" i="1"/>
  <c r="C224" i="1"/>
  <c r="B219" i="1"/>
  <c r="D219" i="1"/>
  <c r="F219" i="1"/>
  <c r="E219" i="1"/>
  <c r="G219" i="1"/>
  <c r="H219" i="1"/>
  <c r="J221" i="1"/>
  <c r="J217" i="1"/>
  <c r="J213" i="1"/>
  <c r="J209" i="1"/>
  <c r="J205" i="1"/>
  <c r="J201" i="1"/>
  <c r="J228" i="1"/>
  <c r="J224" i="1"/>
  <c r="J216" i="1"/>
  <c r="J212" i="1"/>
  <c r="J208" i="1"/>
  <c r="J204" i="1"/>
  <c r="J226" i="1"/>
  <c r="J218" i="1"/>
  <c r="J210" i="1"/>
  <c r="J202" i="1"/>
  <c r="J227" i="1"/>
  <c r="J219" i="1"/>
  <c r="J211" i="1"/>
  <c r="J203" i="1"/>
  <c r="J222" i="1"/>
  <c r="J206" i="1"/>
  <c r="J215" i="1"/>
  <c r="J223" i="1"/>
  <c r="J207" i="1"/>
  <c r="J214" i="1"/>
  <c r="J292" i="1"/>
  <c r="J303" i="1"/>
  <c r="J290" i="1"/>
  <c r="I99" i="3"/>
  <c r="I71" i="3"/>
  <c r="I76" i="3"/>
  <c r="I39" i="3"/>
  <c r="I85" i="3"/>
  <c r="I50" i="3"/>
  <c r="I34" i="3"/>
  <c r="I219" i="1"/>
  <c r="H28" i="11"/>
  <c r="H152" i="1"/>
  <c r="J41" i="5"/>
  <c r="J57" i="5"/>
  <c r="C228" i="1"/>
  <c r="B223" i="1"/>
  <c r="D223" i="1"/>
  <c r="E223" i="1"/>
  <c r="F223" i="1"/>
  <c r="G223" i="1"/>
  <c r="H223" i="1"/>
  <c r="E33" i="2"/>
  <c r="F258" i="1"/>
  <c r="H20" i="7"/>
  <c r="Q19" i="7"/>
  <c r="H35" i="11"/>
  <c r="H178" i="1"/>
  <c r="J7" i="6"/>
  <c r="J8" i="6"/>
  <c r="I223" i="1"/>
  <c r="G20" i="5"/>
  <c r="G264" i="1"/>
  <c r="G19" i="3"/>
  <c r="G73" i="2"/>
  <c r="B81" i="1"/>
  <c r="C86" i="1"/>
  <c r="E81" i="1"/>
  <c r="D81" i="1"/>
  <c r="F81" i="1"/>
  <c r="G81" i="1"/>
  <c r="H81" i="1"/>
  <c r="I13" i="10"/>
  <c r="J13" i="10" s="1"/>
  <c r="H51" i="6"/>
  <c r="H52" i="6" s="1"/>
  <c r="I295" i="1" s="1"/>
  <c r="I308" i="1" s="1"/>
  <c r="H47" i="6"/>
  <c r="H48" i="6" s="1"/>
  <c r="H43" i="6"/>
  <c r="H44" i="6" s="1"/>
  <c r="I83" i="2" s="1"/>
  <c r="I18" i="1"/>
  <c r="I89" i="1"/>
  <c r="C231" i="1"/>
  <c r="B226" i="1"/>
  <c r="D226" i="1"/>
  <c r="E226" i="1"/>
  <c r="F226" i="1"/>
  <c r="G226" i="1"/>
  <c r="H226" i="1"/>
  <c r="J93" i="1"/>
  <c r="J89" i="1"/>
  <c r="J85" i="1"/>
  <c r="J81" i="1"/>
  <c r="J77" i="1"/>
  <c r="J73" i="1"/>
  <c r="J88" i="1"/>
  <c r="J84" i="1"/>
  <c r="J80" i="1"/>
  <c r="J76" i="1"/>
  <c r="J98" i="1"/>
  <c r="J82" i="1"/>
  <c r="J74" i="1"/>
  <c r="J78" i="1"/>
  <c r="J83" i="1"/>
  <c r="J75" i="1"/>
  <c r="J94" i="1"/>
  <c r="J86" i="1"/>
  <c r="J79" i="1"/>
  <c r="H33" i="11"/>
  <c r="H176" i="1"/>
  <c r="G20" i="11"/>
  <c r="G22" i="11" s="1"/>
  <c r="G24" i="11" s="1"/>
  <c r="H156" i="1" s="1"/>
  <c r="H16" i="11"/>
  <c r="F12" i="5"/>
  <c r="F9" i="2"/>
  <c r="F166" i="1"/>
  <c r="F29" i="2" s="1"/>
  <c r="F91" i="2" s="1"/>
  <c r="K40" i="1"/>
  <c r="K50" i="1" s="1"/>
  <c r="K59" i="5" s="1"/>
  <c r="L20" i="1"/>
  <c r="K20" i="7"/>
  <c r="O20" i="7"/>
  <c r="F21" i="7"/>
  <c r="B85" i="1"/>
  <c r="C90" i="1"/>
  <c r="D85" i="1"/>
  <c r="E85" i="1"/>
  <c r="F85" i="1"/>
  <c r="G85" i="1"/>
  <c r="H85" i="1"/>
  <c r="I227" i="1"/>
  <c r="H30" i="11"/>
  <c r="H154" i="1"/>
  <c r="B232" i="1" l="1"/>
  <c r="C237" i="1"/>
  <c r="D232" i="1"/>
  <c r="E232" i="1"/>
  <c r="F232" i="1"/>
  <c r="G232" i="1"/>
  <c r="H232" i="1"/>
  <c r="I232" i="1"/>
  <c r="K16" i="6"/>
  <c r="L8" i="3"/>
  <c r="L6" i="2"/>
  <c r="L261" i="1"/>
  <c r="L191" i="1"/>
  <c r="L275" i="1"/>
  <c r="L200" i="1"/>
  <c r="L53" i="1"/>
  <c r="M10" i="1"/>
  <c r="L136" i="1"/>
  <c r="L38" i="1"/>
  <c r="L29" i="1"/>
  <c r="L10" i="5"/>
  <c r="L72" i="1"/>
  <c r="L150" i="1"/>
  <c r="L174" i="1"/>
  <c r="L63" i="1"/>
  <c r="I30" i="11"/>
  <c r="I154" i="1"/>
  <c r="C236" i="1"/>
  <c r="B231" i="1"/>
  <c r="D231" i="1"/>
  <c r="E231" i="1"/>
  <c r="F231" i="1"/>
  <c r="G231" i="1"/>
  <c r="H231" i="1"/>
  <c r="I231" i="1"/>
  <c r="K236" i="1"/>
  <c r="K232" i="1"/>
  <c r="K228" i="1"/>
  <c r="K224" i="1"/>
  <c r="K220" i="1"/>
  <c r="K216" i="1"/>
  <c r="K212" i="1"/>
  <c r="K208" i="1"/>
  <c r="K204" i="1"/>
  <c r="K231" i="1"/>
  <c r="K227" i="1"/>
  <c r="K223" i="1"/>
  <c r="K219" i="1"/>
  <c r="K215" i="1"/>
  <c r="K211" i="1"/>
  <c r="K207" i="1"/>
  <c r="K203" i="1"/>
  <c r="K237" i="1"/>
  <c r="K229" i="1"/>
  <c r="K221" i="1"/>
  <c r="K213" i="1"/>
  <c r="K205" i="1"/>
  <c r="K222" i="1"/>
  <c r="K214" i="1"/>
  <c r="K206" i="1"/>
  <c r="K217" i="1"/>
  <c r="K201" i="1"/>
  <c r="K209" i="1"/>
  <c r="K210" i="1"/>
  <c r="K218" i="1"/>
  <c r="K202" i="1"/>
  <c r="K226" i="1"/>
  <c r="K41" i="5"/>
  <c r="K57" i="5"/>
  <c r="B220" i="1"/>
  <c r="C225" i="1"/>
  <c r="K225" i="1" s="1"/>
  <c r="D220" i="1"/>
  <c r="E220" i="1"/>
  <c r="F220" i="1"/>
  <c r="G220" i="1"/>
  <c r="H220" i="1"/>
  <c r="I220" i="1"/>
  <c r="O21" i="7"/>
  <c r="F22" i="7"/>
  <c r="C91" i="1"/>
  <c r="B86" i="1"/>
  <c r="D86" i="1"/>
  <c r="E86" i="1"/>
  <c r="F86" i="1"/>
  <c r="G86" i="1"/>
  <c r="H86" i="1"/>
  <c r="I86" i="1"/>
  <c r="K7" i="6"/>
  <c r="J22" i="6" s="1"/>
  <c r="K16" i="1" s="1"/>
  <c r="Q20" i="7"/>
  <c r="H21" i="7"/>
  <c r="J232" i="1"/>
  <c r="C87" i="1"/>
  <c r="B82" i="1"/>
  <c r="E82" i="1"/>
  <c r="D82" i="1"/>
  <c r="F82" i="1"/>
  <c r="G82" i="1"/>
  <c r="H82" i="1"/>
  <c r="I82" i="1"/>
  <c r="I37" i="11"/>
  <c r="I180" i="1"/>
  <c r="J15" i="6"/>
  <c r="K9" i="5"/>
  <c r="K7" i="3"/>
  <c r="K5" i="2"/>
  <c r="K260" i="1"/>
  <c r="K190" i="1"/>
  <c r="K52" i="1"/>
  <c r="K173" i="1"/>
  <c r="K135" i="1"/>
  <c r="K37" i="1"/>
  <c r="K28" i="1"/>
  <c r="K149" i="1"/>
  <c r="K62" i="1"/>
  <c r="L9" i="1"/>
  <c r="K274" i="1"/>
  <c r="J99" i="3"/>
  <c r="J85" i="3"/>
  <c r="J76" i="3"/>
  <c r="J50" i="3"/>
  <c r="J34" i="3"/>
  <c r="J71" i="3"/>
  <c r="J39" i="3"/>
  <c r="I29" i="11"/>
  <c r="I153" i="1"/>
  <c r="I22" i="6"/>
  <c r="J16" i="1" s="1"/>
  <c r="K3" i="14"/>
  <c r="K117" i="2"/>
  <c r="K88" i="2"/>
  <c r="K63" i="2"/>
  <c r="K25" i="2"/>
  <c r="J25" i="6"/>
  <c r="K19" i="1" s="1"/>
  <c r="J21" i="6"/>
  <c r="J24" i="6"/>
  <c r="J20" i="6"/>
  <c r="K14" i="1" s="1"/>
  <c r="K13" i="10" s="1"/>
  <c r="J26" i="6"/>
  <c r="K22" i="1" s="1"/>
  <c r="J18" i="6"/>
  <c r="K12" i="1" s="1"/>
  <c r="J35" i="6"/>
  <c r="J27" i="6"/>
  <c r="K23" i="1" s="1"/>
  <c r="J19" i="6"/>
  <c r="K13" i="1" s="1"/>
  <c r="I36" i="11"/>
  <c r="I179" i="1"/>
  <c r="I31" i="11"/>
  <c r="I155" i="1"/>
  <c r="C95" i="1"/>
  <c r="B90" i="1"/>
  <c r="D90" i="1"/>
  <c r="E90" i="1"/>
  <c r="F90" i="1"/>
  <c r="G90" i="1"/>
  <c r="H90" i="1"/>
  <c r="I90" i="1"/>
  <c r="I16" i="11"/>
  <c r="H20" i="11"/>
  <c r="H22" i="11" s="1"/>
  <c r="H24" i="11" s="1"/>
  <c r="I156" i="1" s="1"/>
  <c r="J11" i="10"/>
  <c r="J12" i="10" s="1"/>
  <c r="J197" i="1" s="1"/>
  <c r="J198" i="1" s="1"/>
  <c r="I35" i="11"/>
  <c r="I178" i="1"/>
  <c r="I28" i="11"/>
  <c r="I152" i="1"/>
  <c r="B224" i="1"/>
  <c r="C229" i="1"/>
  <c r="D224" i="1"/>
  <c r="F224" i="1"/>
  <c r="E224" i="1"/>
  <c r="G224" i="1"/>
  <c r="H224" i="1"/>
  <c r="I224" i="1"/>
  <c r="P33" i="7"/>
  <c r="G34" i="7"/>
  <c r="K100" i="3"/>
  <c r="K51" i="3"/>
  <c r="L40" i="1"/>
  <c r="L50" i="1" s="1"/>
  <c r="L59" i="5" s="1"/>
  <c r="M20" i="1"/>
  <c r="F11" i="14"/>
  <c r="F6" i="14"/>
  <c r="F10" i="3"/>
  <c r="G12" i="5"/>
  <c r="G9" i="2"/>
  <c r="G166" i="1"/>
  <c r="G29" i="2" s="1"/>
  <c r="G91" i="2" s="1"/>
  <c r="C103" i="1"/>
  <c r="B98" i="1"/>
  <c r="E98" i="1"/>
  <c r="D98" i="1"/>
  <c r="F98" i="1"/>
  <c r="G98" i="1"/>
  <c r="H98" i="1"/>
  <c r="I98" i="1"/>
  <c r="I51" i="6"/>
  <c r="I52" i="6" s="1"/>
  <c r="J295" i="1" s="1"/>
  <c r="J308" i="1" s="1"/>
  <c r="I43" i="6"/>
  <c r="I44" i="6" s="1"/>
  <c r="J83" i="2" s="1"/>
  <c r="I47" i="6"/>
  <c r="I48" i="6" s="1"/>
  <c r="J18" i="1"/>
  <c r="H4" i="12"/>
  <c r="I3" i="12"/>
  <c r="H186" i="1"/>
  <c r="F167" i="1"/>
  <c r="I33" i="11"/>
  <c r="I176" i="1"/>
  <c r="J90" i="1"/>
  <c r="F33" i="2"/>
  <c r="G258" i="1"/>
  <c r="B228" i="1"/>
  <c r="C233" i="1"/>
  <c r="K233" i="1" s="1"/>
  <c r="D228" i="1"/>
  <c r="E228" i="1"/>
  <c r="F228" i="1"/>
  <c r="G228" i="1"/>
  <c r="H228" i="1"/>
  <c r="I228" i="1"/>
  <c r="H169" i="1"/>
  <c r="H43" i="2" s="1"/>
  <c r="H95" i="2" s="1"/>
  <c r="H162" i="1"/>
  <c r="J231" i="1"/>
  <c r="J220" i="1"/>
  <c r="J40" i="5"/>
  <c r="J56" i="5"/>
  <c r="K88" i="1"/>
  <c r="K84" i="1"/>
  <c r="K80" i="1"/>
  <c r="K76" i="1"/>
  <c r="K95" i="1"/>
  <c r="K91" i="1"/>
  <c r="K87" i="1"/>
  <c r="K83" i="1"/>
  <c r="K79" i="1"/>
  <c r="K75" i="1"/>
  <c r="K93" i="1"/>
  <c r="K85" i="1"/>
  <c r="K77" i="1"/>
  <c r="K98" i="1"/>
  <c r="K74" i="1"/>
  <c r="K94" i="1"/>
  <c r="K86" i="1"/>
  <c r="K78" i="1"/>
  <c r="K89" i="1"/>
  <c r="K81" i="1"/>
  <c r="K73" i="1"/>
  <c r="K90" i="1"/>
  <c r="K82" i="1"/>
  <c r="K305" i="1"/>
  <c r="K290" i="1"/>
  <c r="K303" i="1"/>
  <c r="K292" i="1"/>
  <c r="K280" i="1" s="1"/>
  <c r="C99" i="1"/>
  <c r="K99" i="1" s="1"/>
  <c r="B94" i="1"/>
  <c r="E94" i="1"/>
  <c r="D94" i="1"/>
  <c r="F94" i="1"/>
  <c r="G94" i="1"/>
  <c r="H94" i="1"/>
  <c r="I94" i="1"/>
  <c r="K54" i="3" l="1"/>
  <c r="H12" i="5"/>
  <c r="H9" i="2"/>
  <c r="H166" i="1"/>
  <c r="H29" i="2" s="1"/>
  <c r="H91" i="2" s="1"/>
  <c r="J3" i="12"/>
  <c r="I4" i="12"/>
  <c r="I169" i="1"/>
  <c r="I162" i="1"/>
  <c r="K15" i="6"/>
  <c r="L5" i="2"/>
  <c r="L260" i="1"/>
  <c r="L190" i="1"/>
  <c r="L7" i="3"/>
  <c r="L274" i="1"/>
  <c r="L173" i="1"/>
  <c r="L9" i="5"/>
  <c r="L135" i="1"/>
  <c r="L37" i="1"/>
  <c r="L28" i="1"/>
  <c r="L62" i="1"/>
  <c r="M9" i="1"/>
  <c r="L52" i="1"/>
  <c r="L149" i="1"/>
  <c r="K56" i="5"/>
  <c r="K40" i="5"/>
  <c r="O22" i="7"/>
  <c r="F23" i="7"/>
  <c r="I186" i="1"/>
  <c r="C108" i="1"/>
  <c r="B103" i="1"/>
  <c r="E103" i="1"/>
  <c r="D103" i="1"/>
  <c r="F103" i="1"/>
  <c r="G103" i="1"/>
  <c r="H103" i="1"/>
  <c r="I103" i="1"/>
  <c r="J103" i="1"/>
  <c r="P34" i="7"/>
  <c r="G35" i="7"/>
  <c r="B229" i="1"/>
  <c r="C234" i="1"/>
  <c r="D229" i="1"/>
  <c r="F229" i="1"/>
  <c r="E229" i="1"/>
  <c r="G229" i="1"/>
  <c r="H229" i="1"/>
  <c r="I229" i="1"/>
  <c r="J229" i="1"/>
  <c r="H258" i="1"/>
  <c r="G33" i="2"/>
  <c r="J33" i="11"/>
  <c r="J176" i="1"/>
  <c r="H22" i="7"/>
  <c r="Q21" i="7"/>
  <c r="J30" i="11"/>
  <c r="J154" i="1"/>
  <c r="L290" i="1"/>
  <c r="L303" i="1"/>
  <c r="L305" i="1"/>
  <c r="L292" i="1"/>
  <c r="L280" i="1" s="1"/>
  <c r="L100" i="3"/>
  <c r="L51" i="3"/>
  <c r="B237" i="1"/>
  <c r="C242" i="1"/>
  <c r="D237" i="1"/>
  <c r="E237" i="1"/>
  <c r="F237" i="1"/>
  <c r="G237" i="1"/>
  <c r="H237" i="1"/>
  <c r="I237" i="1"/>
  <c r="J237" i="1"/>
  <c r="B233" i="1"/>
  <c r="C238" i="1"/>
  <c r="D233" i="1"/>
  <c r="E233" i="1"/>
  <c r="F233" i="1"/>
  <c r="G233" i="1"/>
  <c r="H233" i="1"/>
  <c r="I233" i="1"/>
  <c r="J233" i="1"/>
  <c r="J73" i="2"/>
  <c r="J20" i="5"/>
  <c r="J19" i="3"/>
  <c r="J264" i="1"/>
  <c r="L7" i="6"/>
  <c r="L8" i="6"/>
  <c r="K23" i="6" s="1"/>
  <c r="L17" i="1" s="1"/>
  <c r="L12" i="10" s="1"/>
  <c r="L197" i="1" s="1"/>
  <c r="L198" i="1" s="1"/>
  <c r="B225" i="1"/>
  <c r="C230" i="1"/>
  <c r="D225" i="1"/>
  <c r="E225" i="1"/>
  <c r="F225" i="1"/>
  <c r="G225" i="1"/>
  <c r="H225" i="1"/>
  <c r="I225" i="1"/>
  <c r="J225" i="1"/>
  <c r="G11" i="14"/>
  <c r="G6" i="14"/>
  <c r="G10" i="3"/>
  <c r="N20" i="1"/>
  <c r="N40" i="1" s="1"/>
  <c r="N50" i="1" s="1"/>
  <c r="N59" i="5" s="1"/>
  <c r="M40" i="1"/>
  <c r="M50" i="1" s="1"/>
  <c r="M59" i="5" s="1"/>
  <c r="J28" i="11"/>
  <c r="J152" i="1"/>
  <c r="J31" i="11"/>
  <c r="J155" i="1"/>
  <c r="J51" i="6"/>
  <c r="J52" i="6" s="1"/>
  <c r="K295" i="1" s="1"/>
  <c r="K308" i="1" s="1"/>
  <c r="J47" i="6"/>
  <c r="J48" i="6" s="1"/>
  <c r="J43" i="6"/>
  <c r="J44" i="6" s="1"/>
  <c r="K83" i="2" s="1"/>
  <c r="K18" i="1"/>
  <c r="K8" i="6"/>
  <c r="J23" i="6" s="1"/>
  <c r="K17" i="1" s="1"/>
  <c r="K12" i="10" s="1"/>
  <c r="K197" i="1" s="1"/>
  <c r="K198" i="1" s="1"/>
  <c r="C96" i="1"/>
  <c r="B91" i="1"/>
  <c r="D91" i="1"/>
  <c r="E91" i="1"/>
  <c r="F91" i="1"/>
  <c r="G91" i="1"/>
  <c r="H91" i="1"/>
  <c r="I91" i="1"/>
  <c r="J91" i="1"/>
  <c r="L3" i="14"/>
  <c r="L117" i="2"/>
  <c r="L25" i="2"/>
  <c r="L88" i="2"/>
  <c r="L63" i="2"/>
  <c r="C104" i="1"/>
  <c r="L104" i="1" s="1"/>
  <c r="B99" i="1"/>
  <c r="D99" i="1"/>
  <c r="E99" i="1"/>
  <c r="F99" i="1"/>
  <c r="G99" i="1"/>
  <c r="H99" i="1"/>
  <c r="I99" i="1"/>
  <c r="J99" i="1"/>
  <c r="K103" i="1"/>
  <c r="F170" i="1"/>
  <c r="F168" i="1"/>
  <c r="F41" i="2" s="1"/>
  <c r="F93" i="2" s="1"/>
  <c r="G167" i="1"/>
  <c r="J35" i="11"/>
  <c r="J178" i="1"/>
  <c r="J16" i="11"/>
  <c r="I20" i="11"/>
  <c r="I22" i="11" s="1"/>
  <c r="I24" i="11" s="1"/>
  <c r="J156" i="1" s="1"/>
  <c r="C100" i="1"/>
  <c r="B95" i="1"/>
  <c r="D95" i="1"/>
  <c r="E95" i="1"/>
  <c r="F95" i="1"/>
  <c r="G95" i="1"/>
  <c r="H95" i="1"/>
  <c r="I95" i="1"/>
  <c r="J95" i="1"/>
  <c r="J36" i="11"/>
  <c r="J179" i="1"/>
  <c r="J29" i="11"/>
  <c r="J153" i="1"/>
  <c r="K85" i="3"/>
  <c r="K76" i="3"/>
  <c r="K50" i="3"/>
  <c r="K99" i="3"/>
  <c r="K34" i="3"/>
  <c r="K71" i="3"/>
  <c r="K39" i="3"/>
  <c r="J37" i="11"/>
  <c r="J180" i="1"/>
  <c r="C92" i="1"/>
  <c r="B87" i="1"/>
  <c r="E87" i="1"/>
  <c r="D87" i="1"/>
  <c r="F87" i="1"/>
  <c r="G87" i="1"/>
  <c r="H87" i="1"/>
  <c r="I87" i="1"/>
  <c r="J87" i="1"/>
  <c r="K21" i="7"/>
  <c r="B236" i="1"/>
  <c r="C241" i="1"/>
  <c r="D236" i="1"/>
  <c r="E236" i="1"/>
  <c r="F236" i="1"/>
  <c r="G236" i="1"/>
  <c r="H236" i="1"/>
  <c r="I236" i="1"/>
  <c r="J236" i="1"/>
  <c r="L103" i="1"/>
  <c r="L99" i="1"/>
  <c r="L95" i="1"/>
  <c r="L91" i="1"/>
  <c r="L87" i="1"/>
  <c r="L83" i="1"/>
  <c r="L79" i="1"/>
  <c r="L75" i="1"/>
  <c r="L98" i="1"/>
  <c r="L94" i="1"/>
  <c r="L90" i="1"/>
  <c r="L86" i="1"/>
  <c r="L82" i="1"/>
  <c r="L78" i="1"/>
  <c r="L74" i="1"/>
  <c r="L96" i="1"/>
  <c r="L88" i="1"/>
  <c r="L80" i="1"/>
  <c r="L92" i="1"/>
  <c r="L84" i="1"/>
  <c r="L76" i="1"/>
  <c r="L93" i="1"/>
  <c r="L85" i="1"/>
  <c r="L89" i="1"/>
  <c r="L81" i="1"/>
  <c r="L73" i="1"/>
  <c r="L108" i="1"/>
  <c r="L100" i="1"/>
  <c r="L77" i="1"/>
  <c r="L57" i="5"/>
  <c r="L41" i="5"/>
  <c r="L16" i="6"/>
  <c r="M10" i="5"/>
  <c r="M6" i="2"/>
  <c r="M261" i="1"/>
  <c r="M191" i="1"/>
  <c r="M275" i="1"/>
  <c r="M174" i="1"/>
  <c r="M150" i="1"/>
  <c r="M136" i="1"/>
  <c r="M38" i="1"/>
  <c r="M29" i="1"/>
  <c r="M8" i="3"/>
  <c r="M63" i="1"/>
  <c r="M53" i="1"/>
  <c r="N10" i="1"/>
  <c r="M200" i="1"/>
  <c r="M72" i="1"/>
  <c r="L231" i="1"/>
  <c r="L227" i="1"/>
  <c r="L223" i="1"/>
  <c r="L219" i="1"/>
  <c r="L215" i="1"/>
  <c r="L211" i="1"/>
  <c r="L207" i="1"/>
  <c r="L203" i="1"/>
  <c r="L242" i="1"/>
  <c r="L238" i="1"/>
  <c r="L234" i="1"/>
  <c r="L230" i="1"/>
  <c r="L226" i="1"/>
  <c r="L222" i="1"/>
  <c r="L218" i="1"/>
  <c r="L214" i="1"/>
  <c r="L210" i="1"/>
  <c r="L206" i="1"/>
  <c r="L202" i="1"/>
  <c r="L232" i="1"/>
  <c r="L224" i="1"/>
  <c r="L216" i="1"/>
  <c r="L208" i="1"/>
  <c r="L233" i="1"/>
  <c r="L225" i="1"/>
  <c r="L217" i="1"/>
  <c r="L209" i="1"/>
  <c r="L201" i="1"/>
  <c r="L228" i="1"/>
  <c r="L212" i="1"/>
  <c r="L204" i="1"/>
  <c r="L237" i="1"/>
  <c r="L205" i="1"/>
  <c r="L229" i="1"/>
  <c r="L213" i="1"/>
  <c r="L236" i="1"/>
  <c r="L220" i="1"/>
  <c r="L221" i="1"/>
  <c r="K27" i="6"/>
  <c r="L23" i="1" s="1"/>
  <c r="K26" i="6"/>
  <c r="L22" i="1" s="1"/>
  <c r="K25" i="6"/>
  <c r="L19" i="1" s="1"/>
  <c r="K24" i="6"/>
  <c r="K21" i="6"/>
  <c r="K20" i="6"/>
  <c r="L14" i="1" s="1"/>
  <c r="L13" i="10" s="1"/>
  <c r="K19" i="6"/>
  <c r="L13" i="1" s="1"/>
  <c r="K18" i="6"/>
  <c r="L12" i="1" s="1"/>
  <c r="K35" i="6"/>
  <c r="L20" i="5" l="1"/>
  <c r="L19" i="3"/>
  <c r="L73" i="2"/>
  <c r="L264" i="1"/>
  <c r="M13" i="10"/>
  <c r="M11" i="10" s="1"/>
  <c r="K47" i="6"/>
  <c r="K48" i="6" s="1"/>
  <c r="K43" i="6"/>
  <c r="K44" i="6" s="1"/>
  <c r="L83" i="2" s="1"/>
  <c r="K51" i="6"/>
  <c r="K52" i="6" s="1"/>
  <c r="L295" i="1" s="1"/>
  <c r="L308" i="1" s="1"/>
  <c r="L18" i="1"/>
  <c r="K36" i="11"/>
  <c r="K179" i="1"/>
  <c r="F71" i="2"/>
  <c r="F171" i="1"/>
  <c r="K33" i="11"/>
  <c r="K176" i="1"/>
  <c r="K3" i="12"/>
  <c r="J4" i="12"/>
  <c r="N10" i="5"/>
  <c r="M16" i="6"/>
  <c r="N275" i="1"/>
  <c r="N174" i="1"/>
  <c r="N150" i="1"/>
  <c r="N8" i="3"/>
  <c r="N200" i="1"/>
  <c r="N261" i="1"/>
  <c r="N63" i="1"/>
  <c r="N6" i="2"/>
  <c r="N72" i="1"/>
  <c r="N191" i="1"/>
  <c r="N136" i="1"/>
  <c r="N29" i="1"/>
  <c r="N38" i="1"/>
  <c r="N53" i="1"/>
  <c r="K37" i="11"/>
  <c r="K180" i="1"/>
  <c r="B100" i="1"/>
  <c r="C105" i="1"/>
  <c r="E100" i="1"/>
  <c r="D100" i="1"/>
  <c r="F100" i="1"/>
  <c r="G100" i="1"/>
  <c r="H100" i="1"/>
  <c r="I100" i="1"/>
  <c r="J100" i="1"/>
  <c r="K100" i="1"/>
  <c r="M8" i="6"/>
  <c r="M7" i="6"/>
  <c r="C247" i="1"/>
  <c r="B242" i="1"/>
  <c r="D242" i="1"/>
  <c r="E242" i="1"/>
  <c r="F242" i="1"/>
  <c r="G242" i="1"/>
  <c r="H242" i="1"/>
  <c r="I242" i="1"/>
  <c r="J242" i="1"/>
  <c r="K242" i="1"/>
  <c r="O23" i="7"/>
  <c r="F24" i="7"/>
  <c r="L56" i="5"/>
  <c r="L40" i="5"/>
  <c r="I12" i="5"/>
  <c r="I9" i="2"/>
  <c r="I166" i="1"/>
  <c r="I29" i="2" s="1"/>
  <c r="I91" i="2" s="1"/>
  <c r="K22" i="6"/>
  <c r="L16" i="1" s="1"/>
  <c r="M303" i="1"/>
  <c r="M292" i="1"/>
  <c r="M290" i="1"/>
  <c r="M305" i="1"/>
  <c r="M57" i="5"/>
  <c r="M41" i="5"/>
  <c r="K29" i="11"/>
  <c r="K153" i="1"/>
  <c r="G170" i="1"/>
  <c r="G168" i="1"/>
  <c r="G41" i="2" s="1"/>
  <c r="G93" i="2" s="1"/>
  <c r="B96" i="1"/>
  <c r="C101" i="1"/>
  <c r="D96" i="1"/>
  <c r="E96" i="1"/>
  <c r="F96" i="1"/>
  <c r="G96" i="1"/>
  <c r="H96" i="1"/>
  <c r="I96" i="1"/>
  <c r="J96" i="1"/>
  <c r="K96" i="1"/>
  <c r="J169" i="1"/>
  <c r="J162" i="1"/>
  <c r="C235" i="1"/>
  <c r="B230" i="1"/>
  <c r="D230" i="1"/>
  <c r="F230" i="1"/>
  <c r="E230" i="1"/>
  <c r="G230" i="1"/>
  <c r="H230" i="1"/>
  <c r="I230" i="1"/>
  <c r="J230" i="1"/>
  <c r="K230" i="1"/>
  <c r="K30" i="11"/>
  <c r="K154" i="1"/>
  <c r="Q22" i="7"/>
  <c r="H23" i="7"/>
  <c r="H33" i="2"/>
  <c r="I258" i="1"/>
  <c r="C239" i="1"/>
  <c r="B234" i="1"/>
  <c r="D234" i="1"/>
  <c r="E234" i="1"/>
  <c r="F234" i="1"/>
  <c r="G234" i="1"/>
  <c r="H234" i="1"/>
  <c r="I234" i="1"/>
  <c r="J234" i="1"/>
  <c r="K234" i="1"/>
  <c r="B108" i="1"/>
  <c r="C113" i="1"/>
  <c r="D108" i="1"/>
  <c r="E108" i="1"/>
  <c r="F108" i="1"/>
  <c r="G108" i="1"/>
  <c r="H108" i="1"/>
  <c r="I108" i="1"/>
  <c r="J108" i="1"/>
  <c r="K108" i="1"/>
  <c r="I43" i="2"/>
  <c r="I95" i="2" s="1"/>
  <c r="H11" i="14"/>
  <c r="H6" i="14"/>
  <c r="H10" i="3"/>
  <c r="M51" i="3"/>
  <c r="M100" i="3"/>
  <c r="B241" i="1"/>
  <c r="C246" i="1"/>
  <c r="D241" i="1"/>
  <c r="E241" i="1"/>
  <c r="F241" i="1"/>
  <c r="G241" i="1"/>
  <c r="H241" i="1"/>
  <c r="I241" i="1"/>
  <c r="J241" i="1"/>
  <c r="K241" i="1"/>
  <c r="B104" i="1"/>
  <c r="C109" i="1"/>
  <c r="E104" i="1"/>
  <c r="D104" i="1"/>
  <c r="F104" i="1"/>
  <c r="G104" i="1"/>
  <c r="H104" i="1"/>
  <c r="I104" i="1"/>
  <c r="J104" i="1"/>
  <c r="K104" i="1"/>
  <c r="P35" i="7"/>
  <c r="G36" i="7"/>
  <c r="L15" i="6"/>
  <c r="M9" i="5"/>
  <c r="M7" i="3"/>
  <c r="M274" i="1"/>
  <c r="M173" i="1"/>
  <c r="M149" i="1"/>
  <c r="M5" i="2"/>
  <c r="M62" i="1"/>
  <c r="M190" i="1"/>
  <c r="N9" i="1"/>
  <c r="M260" i="1"/>
  <c r="M52" i="1"/>
  <c r="M135" i="1"/>
  <c r="M37" i="1"/>
  <c r="M28" i="1"/>
  <c r="L50" i="3"/>
  <c r="L99" i="3"/>
  <c r="L85" i="3"/>
  <c r="L34" i="3"/>
  <c r="L71" i="3"/>
  <c r="L39" i="3"/>
  <c r="L76" i="3"/>
  <c r="M3" i="14"/>
  <c r="M117" i="2"/>
  <c r="M25" i="2"/>
  <c r="M88" i="2"/>
  <c r="M63" i="2"/>
  <c r="K35" i="11"/>
  <c r="K178" i="1"/>
  <c r="K31" i="11"/>
  <c r="K155" i="1"/>
  <c r="L54" i="3"/>
  <c r="L241" i="1"/>
  <c r="M98" i="1"/>
  <c r="M94" i="1"/>
  <c r="M90" i="1"/>
  <c r="M86" i="1"/>
  <c r="M82" i="1"/>
  <c r="M78" i="1"/>
  <c r="M74" i="1"/>
  <c r="M113" i="1"/>
  <c r="M109" i="1"/>
  <c r="M105" i="1"/>
  <c r="M97" i="1"/>
  <c r="M93" i="1"/>
  <c r="M89" i="1"/>
  <c r="M85" i="1"/>
  <c r="M81" i="1"/>
  <c r="M77" i="1"/>
  <c r="M73" i="1"/>
  <c r="M99" i="1"/>
  <c r="M91" i="1"/>
  <c r="M83" i="1"/>
  <c r="M75" i="1"/>
  <c r="M103" i="1"/>
  <c r="M79" i="1"/>
  <c r="M104" i="1"/>
  <c r="M108" i="1"/>
  <c r="M100" i="1"/>
  <c r="M92" i="1"/>
  <c r="M84" i="1"/>
  <c r="M76" i="1"/>
  <c r="M95" i="1"/>
  <c r="M87" i="1"/>
  <c r="M96" i="1"/>
  <c r="M88" i="1"/>
  <c r="M80" i="1"/>
  <c r="M246" i="1"/>
  <c r="M242" i="1"/>
  <c r="M238" i="1"/>
  <c r="M234" i="1"/>
  <c r="M230" i="1"/>
  <c r="M226" i="1"/>
  <c r="M222" i="1"/>
  <c r="M218" i="1"/>
  <c r="M214" i="1"/>
  <c r="M210" i="1"/>
  <c r="M206" i="1"/>
  <c r="M202" i="1"/>
  <c r="M241" i="1"/>
  <c r="M237" i="1"/>
  <c r="M233" i="1"/>
  <c r="M229" i="1"/>
  <c r="M225" i="1"/>
  <c r="M221" i="1"/>
  <c r="M217" i="1"/>
  <c r="M213" i="1"/>
  <c r="M209" i="1"/>
  <c r="M205" i="1"/>
  <c r="M201" i="1"/>
  <c r="M235" i="1"/>
  <c r="M227" i="1"/>
  <c r="M219" i="1"/>
  <c r="M211" i="1"/>
  <c r="M203" i="1"/>
  <c r="M236" i="1"/>
  <c r="M228" i="1"/>
  <c r="M220" i="1"/>
  <c r="M212" i="1"/>
  <c r="M204" i="1"/>
  <c r="M239" i="1"/>
  <c r="M223" i="1"/>
  <c r="M207" i="1"/>
  <c r="M232" i="1"/>
  <c r="M224" i="1"/>
  <c r="M208" i="1"/>
  <c r="M247" i="1"/>
  <c r="M231" i="1"/>
  <c r="M215" i="1"/>
  <c r="M216" i="1"/>
  <c r="L35" i="6"/>
  <c r="L24" i="6"/>
  <c r="L20" i="6"/>
  <c r="M14" i="1" s="1"/>
  <c r="L27" i="6"/>
  <c r="M23" i="1" s="1"/>
  <c r="L23" i="6"/>
  <c r="M17" i="1" s="1"/>
  <c r="L19" i="6"/>
  <c r="M13" i="1" s="1"/>
  <c r="L25" i="6"/>
  <c r="M19" i="1" s="1"/>
  <c r="L21" i="6"/>
  <c r="L26" i="6"/>
  <c r="M22" i="1" s="1"/>
  <c r="L22" i="6"/>
  <c r="M16" i="1" s="1"/>
  <c r="L18" i="6"/>
  <c r="M12" i="1" s="1"/>
  <c r="B92" i="1"/>
  <c r="C97" i="1"/>
  <c r="D92" i="1"/>
  <c r="E92" i="1"/>
  <c r="F92" i="1"/>
  <c r="G92" i="1"/>
  <c r="H92" i="1"/>
  <c r="I92" i="1"/>
  <c r="J92" i="1"/>
  <c r="K92" i="1"/>
  <c r="K16" i="11"/>
  <c r="J20" i="11"/>
  <c r="J22" i="11" s="1"/>
  <c r="J24" i="11" s="1"/>
  <c r="K156" i="1" s="1"/>
  <c r="K20" i="5"/>
  <c r="K19" i="3"/>
  <c r="K264" i="1"/>
  <c r="K73" i="2"/>
  <c r="K28" i="11"/>
  <c r="K152" i="1"/>
  <c r="C243" i="1"/>
  <c r="B238" i="1"/>
  <c r="D238" i="1"/>
  <c r="E238" i="1"/>
  <c r="F238" i="1"/>
  <c r="G238" i="1"/>
  <c r="H238" i="1"/>
  <c r="I238" i="1"/>
  <c r="J238" i="1"/>
  <c r="K238" i="1"/>
  <c r="J186" i="1"/>
  <c r="K22" i="7"/>
  <c r="H167" i="1"/>
  <c r="C248" i="1" l="1"/>
  <c r="B243" i="1"/>
  <c r="D243" i="1"/>
  <c r="E243" i="1"/>
  <c r="F243" i="1"/>
  <c r="G243" i="1"/>
  <c r="H243" i="1"/>
  <c r="I243" i="1"/>
  <c r="J243" i="1"/>
  <c r="K243" i="1"/>
  <c r="L243" i="1"/>
  <c r="M40" i="5"/>
  <c r="M56" i="5"/>
  <c r="H24" i="7"/>
  <c r="Q23" i="7"/>
  <c r="B101" i="1"/>
  <c r="C106" i="1"/>
  <c r="E101" i="1"/>
  <c r="D101" i="1"/>
  <c r="F101" i="1"/>
  <c r="G101" i="1"/>
  <c r="H101" i="1"/>
  <c r="I101" i="1"/>
  <c r="J101" i="1"/>
  <c r="K101" i="1"/>
  <c r="L101" i="1"/>
  <c r="N3" i="14"/>
  <c r="N88" i="2"/>
  <c r="N63" i="2"/>
  <c r="N117" i="2"/>
  <c r="N25" i="2"/>
  <c r="K4" i="12"/>
  <c r="L3" i="12"/>
  <c r="M12" i="10"/>
  <c r="M197" i="1" s="1"/>
  <c r="M198" i="1" s="1"/>
  <c r="L16" i="11"/>
  <c r="K20" i="11"/>
  <c r="K22" i="11" s="1"/>
  <c r="K24" i="11" s="1"/>
  <c r="L156" i="1" s="1"/>
  <c r="B109" i="1"/>
  <c r="C114" i="1"/>
  <c r="D109" i="1"/>
  <c r="E109" i="1"/>
  <c r="F109" i="1"/>
  <c r="G109" i="1"/>
  <c r="H109" i="1"/>
  <c r="I109" i="1"/>
  <c r="J109" i="1"/>
  <c r="K109" i="1"/>
  <c r="L109" i="1"/>
  <c r="C240" i="1"/>
  <c r="B235" i="1"/>
  <c r="D235" i="1"/>
  <c r="F235" i="1"/>
  <c r="E235" i="1"/>
  <c r="G235" i="1"/>
  <c r="H235" i="1"/>
  <c r="I235" i="1"/>
  <c r="J235" i="1"/>
  <c r="K235" i="1"/>
  <c r="L235" i="1"/>
  <c r="N113" i="1"/>
  <c r="N109" i="1"/>
  <c r="N105" i="1"/>
  <c r="N101" i="1"/>
  <c r="N97" i="1"/>
  <c r="N93" i="1"/>
  <c r="N89" i="1"/>
  <c r="N85" i="1"/>
  <c r="N81" i="1"/>
  <c r="N77" i="1"/>
  <c r="N73" i="1"/>
  <c r="N108" i="1"/>
  <c r="N104" i="1"/>
  <c r="N100" i="1"/>
  <c r="N96" i="1"/>
  <c r="N92" i="1"/>
  <c r="N88" i="1"/>
  <c r="N84" i="1"/>
  <c r="N80" i="1"/>
  <c r="N76" i="1"/>
  <c r="N102" i="1"/>
  <c r="N94" i="1"/>
  <c r="N86" i="1"/>
  <c r="N78" i="1"/>
  <c r="N106" i="1"/>
  <c r="N99" i="1"/>
  <c r="N91" i="1"/>
  <c r="N75" i="1"/>
  <c r="N103" i="1"/>
  <c r="N95" i="1"/>
  <c r="N87" i="1"/>
  <c r="N79" i="1"/>
  <c r="N114" i="1"/>
  <c r="N98" i="1"/>
  <c r="N90" i="1"/>
  <c r="N82" i="1"/>
  <c r="N74" i="1"/>
  <c r="N83" i="1"/>
  <c r="N41" i="5"/>
  <c r="N57" i="5"/>
  <c r="K186" i="1"/>
  <c r="L28" i="11"/>
  <c r="L152" i="1"/>
  <c r="B97" i="1"/>
  <c r="C102" i="1"/>
  <c r="D97" i="1"/>
  <c r="E97" i="1"/>
  <c r="F97" i="1"/>
  <c r="G97" i="1"/>
  <c r="H97" i="1"/>
  <c r="I97" i="1"/>
  <c r="J97" i="1"/>
  <c r="K97" i="1"/>
  <c r="L97" i="1"/>
  <c r="M243" i="1"/>
  <c r="M101" i="1"/>
  <c r="L35" i="11"/>
  <c r="L178" i="1"/>
  <c r="P36" i="7"/>
  <c r="G37" i="7"/>
  <c r="B113" i="1"/>
  <c r="C118" i="1"/>
  <c r="E113" i="1"/>
  <c r="D113" i="1"/>
  <c r="F113" i="1"/>
  <c r="G113" i="1"/>
  <c r="H113" i="1"/>
  <c r="I113" i="1"/>
  <c r="J113" i="1"/>
  <c r="K113" i="1"/>
  <c r="L113" i="1"/>
  <c r="I33" i="2"/>
  <c r="J258" i="1"/>
  <c r="J12" i="5"/>
  <c r="J9" i="2"/>
  <c r="J166" i="1"/>
  <c r="J29" i="2" s="1"/>
  <c r="J91" i="2" s="1"/>
  <c r="J167" i="1"/>
  <c r="M280" i="1"/>
  <c r="I167" i="1"/>
  <c r="O24" i="7"/>
  <c r="F25" i="7"/>
  <c r="C252" i="1"/>
  <c r="B247" i="1"/>
  <c r="D247" i="1"/>
  <c r="F247" i="1"/>
  <c r="E247" i="1"/>
  <c r="G247" i="1"/>
  <c r="H247" i="1"/>
  <c r="I247" i="1"/>
  <c r="J247" i="1"/>
  <c r="K247" i="1"/>
  <c r="L247" i="1"/>
  <c r="B105" i="1"/>
  <c r="C110" i="1"/>
  <c r="E105" i="1"/>
  <c r="D105" i="1"/>
  <c r="F105" i="1"/>
  <c r="G105" i="1"/>
  <c r="H105" i="1"/>
  <c r="I105" i="1"/>
  <c r="J105" i="1"/>
  <c r="K105" i="1"/>
  <c r="L105" i="1"/>
  <c r="N241" i="1"/>
  <c r="N237" i="1"/>
  <c r="N233" i="1"/>
  <c r="N229" i="1"/>
  <c r="N225" i="1"/>
  <c r="N221" i="1"/>
  <c r="N217" i="1"/>
  <c r="N213" i="1"/>
  <c r="N209" i="1"/>
  <c r="N205" i="1"/>
  <c r="N201" i="1"/>
  <c r="N252" i="1"/>
  <c r="N248" i="1"/>
  <c r="N240" i="1"/>
  <c r="N236" i="1"/>
  <c r="N232" i="1"/>
  <c r="N228" i="1"/>
  <c r="N224" i="1"/>
  <c r="N220" i="1"/>
  <c r="N216" i="1"/>
  <c r="N212" i="1"/>
  <c r="N208" i="1"/>
  <c r="N204" i="1"/>
  <c r="N246" i="1"/>
  <c r="N238" i="1"/>
  <c r="N230" i="1"/>
  <c r="N222" i="1"/>
  <c r="N214" i="1"/>
  <c r="N206" i="1"/>
  <c r="N247" i="1"/>
  <c r="N239" i="1"/>
  <c r="N231" i="1"/>
  <c r="N223" i="1"/>
  <c r="N215" i="1"/>
  <c r="N207" i="1"/>
  <c r="N234" i="1"/>
  <c r="N218" i="1"/>
  <c r="N202" i="1"/>
  <c r="N226" i="1"/>
  <c r="N210" i="1"/>
  <c r="N243" i="1"/>
  <c r="N227" i="1"/>
  <c r="N251" i="1"/>
  <c r="N235" i="1"/>
  <c r="N219" i="1"/>
  <c r="N203" i="1"/>
  <c r="N242" i="1"/>
  <c r="N211" i="1"/>
  <c r="L33" i="11"/>
  <c r="L176" i="1"/>
  <c r="L31" i="11"/>
  <c r="L155" i="1"/>
  <c r="N9" i="5"/>
  <c r="M15" i="6"/>
  <c r="N7" i="3"/>
  <c r="N190" i="1"/>
  <c r="N173" i="1"/>
  <c r="N274" i="1"/>
  <c r="N149" i="1"/>
  <c r="N52" i="1"/>
  <c r="N5" i="2"/>
  <c r="N62" i="1"/>
  <c r="N37" i="1"/>
  <c r="N28" i="1"/>
  <c r="N135" i="1"/>
  <c r="N260" i="1"/>
  <c r="I6" i="14"/>
  <c r="I11" i="14"/>
  <c r="I10" i="3"/>
  <c r="N100" i="3"/>
  <c r="N51" i="3"/>
  <c r="M35" i="6"/>
  <c r="M27" i="6"/>
  <c r="N23" i="1" s="1"/>
  <c r="M19" i="6"/>
  <c r="N13" i="1" s="1"/>
  <c r="M26" i="6"/>
  <c r="N22" i="1" s="1"/>
  <c r="M22" i="6"/>
  <c r="N16" i="1" s="1"/>
  <c r="M18" i="6"/>
  <c r="N12" i="1" s="1"/>
  <c r="C26" i="4" s="1"/>
  <c r="M25" i="6"/>
  <c r="N19" i="1" s="1"/>
  <c r="M21" i="6"/>
  <c r="M24" i="6"/>
  <c r="M20" i="6"/>
  <c r="N14" i="1" s="1"/>
  <c r="C27" i="4" s="1"/>
  <c r="D27" i="4" s="1"/>
  <c r="E27" i="4" s="1"/>
  <c r="K162" i="1"/>
  <c r="K169" i="1"/>
  <c r="K43" i="2" s="1"/>
  <c r="K95" i="2" s="1"/>
  <c r="C244" i="1"/>
  <c r="B239" i="1"/>
  <c r="D239" i="1"/>
  <c r="E239" i="1"/>
  <c r="F239" i="1"/>
  <c r="G239" i="1"/>
  <c r="H239" i="1"/>
  <c r="I239" i="1"/>
  <c r="J239" i="1"/>
  <c r="K239" i="1"/>
  <c r="L239" i="1"/>
  <c r="L29" i="11"/>
  <c r="L153" i="1"/>
  <c r="K23" i="7"/>
  <c r="L37" i="11"/>
  <c r="L180" i="1"/>
  <c r="H168" i="1"/>
  <c r="H41" i="2" s="1"/>
  <c r="H93" i="2" s="1"/>
  <c r="H170" i="1"/>
  <c r="L47" i="6"/>
  <c r="L48" i="6" s="1"/>
  <c r="L43" i="6"/>
  <c r="L44" i="6" s="1"/>
  <c r="M83" i="2" s="1"/>
  <c r="L51" i="6"/>
  <c r="L52" i="6" s="1"/>
  <c r="M295" i="1" s="1"/>
  <c r="M308" i="1" s="1"/>
  <c r="M18" i="1"/>
  <c r="M99" i="3"/>
  <c r="M71" i="3"/>
  <c r="M39" i="3"/>
  <c r="M85" i="3"/>
  <c r="M76" i="3"/>
  <c r="M50" i="3"/>
  <c r="M34" i="3"/>
  <c r="C251" i="1"/>
  <c r="B246" i="1"/>
  <c r="D246" i="1"/>
  <c r="E246" i="1"/>
  <c r="F246" i="1"/>
  <c r="G246" i="1"/>
  <c r="H246" i="1"/>
  <c r="I246" i="1"/>
  <c r="J246" i="1"/>
  <c r="K246" i="1"/>
  <c r="L246" i="1"/>
  <c r="L30" i="11"/>
  <c r="L154" i="1"/>
  <c r="J43" i="2"/>
  <c r="J95" i="2" s="1"/>
  <c r="G171" i="1"/>
  <c r="G71" i="2"/>
  <c r="N7" i="6"/>
  <c r="N8" i="6"/>
  <c r="M23" i="6" s="1"/>
  <c r="N17" i="1" s="1"/>
  <c r="N292" i="1"/>
  <c r="N280" i="1" s="1"/>
  <c r="N305" i="1"/>
  <c r="N303" i="1"/>
  <c r="N290" i="1"/>
  <c r="L36" i="11"/>
  <c r="L179" i="1"/>
  <c r="H171" i="1" l="1"/>
  <c r="H71" i="2"/>
  <c r="C115" i="1"/>
  <c r="B110" i="1"/>
  <c r="E110" i="1"/>
  <c r="D110" i="1"/>
  <c r="F110" i="1"/>
  <c r="G110" i="1"/>
  <c r="H110" i="1"/>
  <c r="I110" i="1"/>
  <c r="J110" i="1"/>
  <c r="K110" i="1"/>
  <c r="L110" i="1"/>
  <c r="M110" i="1"/>
  <c r="B252" i="1"/>
  <c r="D252" i="1"/>
  <c r="E252" i="1"/>
  <c r="F252" i="1"/>
  <c r="G252" i="1"/>
  <c r="H252" i="1"/>
  <c r="I252" i="1"/>
  <c r="J252" i="1"/>
  <c r="K252" i="1"/>
  <c r="L252" i="1"/>
  <c r="M252" i="1"/>
  <c r="J11" i="14"/>
  <c r="J6" i="14"/>
  <c r="J10" i="3"/>
  <c r="O7" i="6"/>
  <c r="N99" i="3"/>
  <c r="N85" i="3"/>
  <c r="N76" i="3"/>
  <c r="N71" i="3"/>
  <c r="N39" i="3"/>
  <c r="N50" i="3"/>
  <c r="N34" i="3"/>
  <c r="M20" i="5"/>
  <c r="M19" i="3"/>
  <c r="M73" i="2"/>
  <c r="M264" i="1"/>
  <c r="Q24" i="7"/>
  <c r="H25" i="7"/>
  <c r="B244" i="1"/>
  <c r="C249" i="1"/>
  <c r="D244" i="1"/>
  <c r="E244" i="1"/>
  <c r="F244" i="1"/>
  <c r="G244" i="1"/>
  <c r="H244" i="1"/>
  <c r="I244" i="1"/>
  <c r="J244" i="1"/>
  <c r="K244" i="1"/>
  <c r="L244" i="1"/>
  <c r="M244" i="1"/>
  <c r="K9" i="2"/>
  <c r="K166" i="1"/>
  <c r="K29" i="2" s="1"/>
  <c r="K91" i="2" s="1"/>
  <c r="K167" i="1"/>
  <c r="K12" i="5"/>
  <c r="L186" i="1"/>
  <c r="N244" i="1"/>
  <c r="J170" i="1"/>
  <c r="J168" i="1"/>
  <c r="J41" i="2" s="1"/>
  <c r="J93" i="2" s="1"/>
  <c r="C123" i="1"/>
  <c r="B118" i="1"/>
  <c r="D118" i="1"/>
  <c r="E118" i="1"/>
  <c r="F118" i="1"/>
  <c r="G118" i="1"/>
  <c r="H118" i="1"/>
  <c r="I118" i="1"/>
  <c r="J118" i="1"/>
  <c r="K118" i="1"/>
  <c r="L118" i="1"/>
  <c r="M118" i="1"/>
  <c r="L162" i="1"/>
  <c r="L169" i="1"/>
  <c r="L43" i="2" s="1"/>
  <c r="L95" i="2" s="1"/>
  <c r="N110" i="1"/>
  <c r="L4" i="12"/>
  <c r="M3" i="12"/>
  <c r="M4" i="12" s="1"/>
  <c r="C111" i="1"/>
  <c r="B106" i="1"/>
  <c r="D106" i="1"/>
  <c r="E106" i="1"/>
  <c r="F106" i="1"/>
  <c r="G106" i="1"/>
  <c r="H106" i="1"/>
  <c r="I106" i="1"/>
  <c r="J106" i="1"/>
  <c r="K106" i="1"/>
  <c r="L106" i="1"/>
  <c r="M106" i="1"/>
  <c r="M37" i="11"/>
  <c r="N180" i="1" s="1"/>
  <c r="M180" i="1"/>
  <c r="M51" i="6"/>
  <c r="M52" i="6" s="1"/>
  <c r="M47" i="6"/>
  <c r="M48" i="6" s="1"/>
  <c r="M43" i="6"/>
  <c r="M44" i="6" s="1"/>
  <c r="N83" i="2" s="1"/>
  <c r="N18" i="1"/>
  <c r="I168" i="1"/>
  <c r="I41" i="2" s="1"/>
  <c r="I93" i="2" s="1"/>
  <c r="I170" i="1"/>
  <c r="P37" i="7"/>
  <c r="G38" i="7"/>
  <c r="M16" i="11"/>
  <c r="M20" i="11" s="1"/>
  <c r="M22" i="11" s="1"/>
  <c r="M24" i="11" s="1"/>
  <c r="N156" i="1" s="1"/>
  <c r="L20" i="11"/>
  <c r="L22" i="11" s="1"/>
  <c r="L24" i="11" s="1"/>
  <c r="M156" i="1" s="1"/>
  <c r="M31" i="11"/>
  <c r="N155" i="1" s="1"/>
  <c r="M155" i="1"/>
  <c r="O25" i="7"/>
  <c r="F26" i="7"/>
  <c r="K25" i="7"/>
  <c r="M54" i="3"/>
  <c r="C119" i="1"/>
  <c r="B114" i="1"/>
  <c r="E114" i="1"/>
  <c r="D114" i="1"/>
  <c r="F114" i="1"/>
  <c r="G114" i="1"/>
  <c r="H114" i="1"/>
  <c r="I114" i="1"/>
  <c r="J114" i="1"/>
  <c r="K114" i="1"/>
  <c r="L114" i="1"/>
  <c r="M114" i="1"/>
  <c r="M36" i="11"/>
  <c r="N179" i="1" s="1"/>
  <c r="M179" i="1"/>
  <c r="N54" i="3"/>
  <c r="M30" i="11"/>
  <c r="N154" i="1" s="1"/>
  <c r="M154" i="1"/>
  <c r="B251" i="1"/>
  <c r="D251" i="1"/>
  <c r="F251" i="1"/>
  <c r="E251" i="1"/>
  <c r="G251" i="1"/>
  <c r="H251" i="1"/>
  <c r="I251" i="1"/>
  <c r="J251" i="1"/>
  <c r="K251" i="1"/>
  <c r="L251" i="1"/>
  <c r="M251" i="1"/>
  <c r="M29" i="11"/>
  <c r="N153" i="1" s="1"/>
  <c r="M153" i="1"/>
  <c r="D26" i="4"/>
  <c r="E26" i="4" s="1"/>
  <c r="C28" i="4"/>
  <c r="D28" i="4" s="1"/>
  <c r="N40" i="5"/>
  <c r="N56" i="5"/>
  <c r="M33" i="11"/>
  <c r="N176" i="1" s="1"/>
  <c r="M176" i="1"/>
  <c r="K24" i="7"/>
  <c r="J33" i="2"/>
  <c r="K258" i="1"/>
  <c r="M35" i="11"/>
  <c r="N178" i="1" s="1"/>
  <c r="M178" i="1"/>
  <c r="C107" i="1"/>
  <c r="B102" i="1"/>
  <c r="D102" i="1"/>
  <c r="E102" i="1"/>
  <c r="F102" i="1"/>
  <c r="G102" i="1"/>
  <c r="H102" i="1"/>
  <c r="I102" i="1"/>
  <c r="J102" i="1"/>
  <c r="K102" i="1"/>
  <c r="L102" i="1"/>
  <c r="M102" i="1"/>
  <c r="M28" i="11"/>
  <c r="N152" i="1" s="1"/>
  <c r="M152" i="1"/>
  <c r="N118" i="1"/>
  <c r="B240" i="1"/>
  <c r="C245" i="1"/>
  <c r="D240" i="1"/>
  <c r="E240" i="1"/>
  <c r="F240" i="1"/>
  <c r="G240" i="1"/>
  <c r="H240" i="1"/>
  <c r="I240" i="1"/>
  <c r="J240" i="1"/>
  <c r="K240" i="1"/>
  <c r="L240" i="1"/>
  <c r="M240" i="1"/>
  <c r="B248" i="1"/>
  <c r="C253" i="1"/>
  <c r="D248" i="1"/>
  <c r="F248" i="1"/>
  <c r="E248" i="1"/>
  <c r="G248" i="1"/>
  <c r="H248" i="1"/>
  <c r="I248" i="1"/>
  <c r="J248" i="1"/>
  <c r="K248" i="1"/>
  <c r="L248" i="1"/>
  <c r="M248" i="1"/>
  <c r="B253" i="1" l="1"/>
  <c r="D253" i="1"/>
  <c r="E253" i="1"/>
  <c r="F253" i="1"/>
  <c r="G253" i="1"/>
  <c r="H253" i="1"/>
  <c r="I253" i="1"/>
  <c r="J253" i="1"/>
  <c r="K253" i="1"/>
  <c r="L253" i="1"/>
  <c r="M253" i="1"/>
  <c r="N253" i="1"/>
  <c r="B245" i="1"/>
  <c r="C250" i="1"/>
  <c r="D245" i="1"/>
  <c r="F245" i="1"/>
  <c r="E245" i="1"/>
  <c r="G245" i="1"/>
  <c r="H245" i="1"/>
  <c r="I245" i="1"/>
  <c r="J245" i="1"/>
  <c r="K245" i="1"/>
  <c r="L245" i="1"/>
  <c r="M245" i="1"/>
  <c r="N245" i="1"/>
  <c r="C112" i="1"/>
  <c r="B107" i="1"/>
  <c r="D107" i="1"/>
  <c r="E107" i="1"/>
  <c r="F107" i="1"/>
  <c r="G107" i="1"/>
  <c r="H107" i="1"/>
  <c r="I107" i="1"/>
  <c r="J107" i="1"/>
  <c r="K107" i="1"/>
  <c r="L107" i="1"/>
  <c r="M107" i="1"/>
  <c r="N107" i="1"/>
  <c r="N186" i="1"/>
  <c r="I71" i="2"/>
  <c r="I171" i="1"/>
  <c r="K11" i="14"/>
  <c r="K6" i="14"/>
  <c r="K10" i="3"/>
  <c r="B249" i="1"/>
  <c r="C254" i="1"/>
  <c r="D249" i="1"/>
  <c r="E249" i="1"/>
  <c r="F249" i="1"/>
  <c r="G249" i="1"/>
  <c r="H249" i="1"/>
  <c r="I249" i="1"/>
  <c r="J249" i="1"/>
  <c r="K249" i="1"/>
  <c r="L249" i="1"/>
  <c r="M249" i="1"/>
  <c r="N249" i="1"/>
  <c r="C124" i="1"/>
  <c r="B119" i="1"/>
  <c r="E119" i="1"/>
  <c r="D119" i="1"/>
  <c r="F119" i="1"/>
  <c r="G119" i="1"/>
  <c r="H119" i="1"/>
  <c r="I119" i="1"/>
  <c r="J119" i="1"/>
  <c r="K119" i="1"/>
  <c r="L119" i="1"/>
  <c r="M119" i="1"/>
  <c r="N119" i="1"/>
  <c r="F27" i="7"/>
  <c r="O26" i="7"/>
  <c r="P38" i="7"/>
  <c r="G39" i="7"/>
  <c r="N295" i="1"/>
  <c r="N308" i="1" s="1"/>
  <c r="D14" i="4"/>
  <c r="L12" i="5"/>
  <c r="L9" i="2"/>
  <c r="L166" i="1"/>
  <c r="L29" i="2" s="1"/>
  <c r="L91" i="2" s="1"/>
  <c r="B123" i="1"/>
  <c r="E123" i="1"/>
  <c r="D123" i="1"/>
  <c r="F123" i="1"/>
  <c r="G123" i="1"/>
  <c r="H123" i="1"/>
  <c r="I123" i="1"/>
  <c r="J123" i="1"/>
  <c r="K123" i="1"/>
  <c r="L123" i="1"/>
  <c r="M123" i="1"/>
  <c r="N123" i="1"/>
  <c r="K168" i="1"/>
  <c r="K41" i="2" s="1"/>
  <c r="K93" i="2" s="1"/>
  <c r="H26" i="7"/>
  <c r="Q25" i="7"/>
  <c r="P7" i="6"/>
  <c r="N169" i="1"/>
  <c r="N162" i="1"/>
  <c r="E28" i="4"/>
  <c r="D9" i="4"/>
  <c r="E9" i="4" s="1"/>
  <c r="D8" i="4"/>
  <c r="E8" i="4" s="1"/>
  <c r="J71" i="2"/>
  <c r="J171" i="1"/>
  <c r="M169" i="1"/>
  <c r="M162" i="1"/>
  <c r="K33" i="2"/>
  <c r="L258" i="1"/>
  <c r="M186" i="1"/>
  <c r="C116" i="1"/>
  <c r="B111" i="1"/>
  <c r="D111" i="1"/>
  <c r="E111" i="1"/>
  <c r="F111" i="1"/>
  <c r="G111" i="1"/>
  <c r="H111" i="1"/>
  <c r="I111" i="1"/>
  <c r="J111" i="1"/>
  <c r="K111" i="1"/>
  <c r="L111" i="1"/>
  <c r="M111" i="1"/>
  <c r="N111" i="1"/>
  <c r="O8" i="6"/>
  <c r="C120" i="1"/>
  <c r="B115" i="1"/>
  <c r="D115" i="1"/>
  <c r="E115" i="1"/>
  <c r="F115" i="1"/>
  <c r="G115" i="1"/>
  <c r="H115" i="1"/>
  <c r="I115" i="1"/>
  <c r="J115" i="1"/>
  <c r="K115" i="1"/>
  <c r="L115" i="1"/>
  <c r="M115" i="1"/>
  <c r="N115" i="1"/>
  <c r="M12" i="5" l="1"/>
  <c r="M9" i="2"/>
  <c r="M166" i="1"/>
  <c r="M29" i="2" s="1"/>
  <c r="M91" i="2" s="1"/>
  <c r="Q26" i="7"/>
  <c r="H27" i="7"/>
  <c r="B124" i="1"/>
  <c r="E124" i="1"/>
  <c r="D124" i="1"/>
  <c r="F124" i="1"/>
  <c r="G124" i="1"/>
  <c r="H124" i="1"/>
  <c r="I124" i="1"/>
  <c r="J124" i="1"/>
  <c r="K124" i="1"/>
  <c r="L124" i="1"/>
  <c r="M124" i="1"/>
  <c r="N124" i="1"/>
  <c r="M258" i="1"/>
  <c r="L33" i="2"/>
  <c r="Q7" i="6"/>
  <c r="D15" i="4"/>
  <c r="C14" i="4"/>
  <c r="C15" i="4" s="1"/>
  <c r="E14" i="4"/>
  <c r="E15" i="4" s="1"/>
  <c r="N12" i="5"/>
  <c r="N9" i="2"/>
  <c r="N166" i="1"/>
  <c r="N29" i="2" s="1"/>
  <c r="N91" i="2" s="1"/>
  <c r="N167" i="1"/>
  <c r="P8" i="6"/>
  <c r="K170" i="1"/>
  <c r="K26" i="7"/>
  <c r="B254" i="1"/>
  <c r="D254" i="1"/>
  <c r="F254" i="1"/>
  <c r="E254" i="1"/>
  <c r="G254" i="1"/>
  <c r="H254" i="1"/>
  <c r="I254" i="1"/>
  <c r="J254" i="1"/>
  <c r="K254" i="1"/>
  <c r="L254" i="1"/>
  <c r="M254" i="1"/>
  <c r="N254" i="1"/>
  <c r="M43" i="2"/>
  <c r="M95" i="2" s="1"/>
  <c r="L11" i="14"/>
  <c r="L6" i="14"/>
  <c r="L10" i="3"/>
  <c r="B116" i="1"/>
  <c r="C121" i="1"/>
  <c r="E116" i="1"/>
  <c r="D116" i="1"/>
  <c r="F116" i="1"/>
  <c r="G116" i="1"/>
  <c r="H116" i="1"/>
  <c r="I116" i="1"/>
  <c r="J116" i="1"/>
  <c r="K116" i="1"/>
  <c r="L116" i="1"/>
  <c r="M116" i="1"/>
  <c r="N116" i="1"/>
  <c r="B120" i="1"/>
  <c r="C125" i="1"/>
  <c r="D120" i="1"/>
  <c r="E120" i="1"/>
  <c r="F120" i="1"/>
  <c r="G120" i="1"/>
  <c r="H120" i="1"/>
  <c r="I120" i="1"/>
  <c r="J120" i="1"/>
  <c r="K120" i="1"/>
  <c r="L120" i="1"/>
  <c r="M120" i="1"/>
  <c r="N120" i="1"/>
  <c r="N43" i="2"/>
  <c r="N95" i="2" s="1"/>
  <c r="L167" i="1"/>
  <c r="P39" i="7"/>
  <c r="G40" i="7"/>
  <c r="O27" i="7"/>
  <c r="F28" i="7"/>
  <c r="K27" i="7"/>
  <c r="B112" i="1"/>
  <c r="C117" i="1"/>
  <c r="D112" i="1"/>
  <c r="E112" i="1"/>
  <c r="F112" i="1"/>
  <c r="G112" i="1"/>
  <c r="H112" i="1"/>
  <c r="I112" i="1"/>
  <c r="J112" i="1"/>
  <c r="K112" i="1"/>
  <c r="L112" i="1"/>
  <c r="M112" i="1"/>
  <c r="N112" i="1"/>
  <c r="C255" i="1"/>
  <c r="B250" i="1"/>
  <c r="D250" i="1"/>
  <c r="E250" i="1"/>
  <c r="F250" i="1"/>
  <c r="G250" i="1"/>
  <c r="H250" i="1"/>
  <c r="I250" i="1"/>
  <c r="J250" i="1"/>
  <c r="K250" i="1"/>
  <c r="L250" i="1"/>
  <c r="M250" i="1"/>
  <c r="N250" i="1"/>
  <c r="P40" i="7" l="1"/>
  <c r="G41" i="7"/>
  <c r="B121" i="1"/>
  <c r="C126" i="1"/>
  <c r="E121" i="1"/>
  <c r="D121" i="1"/>
  <c r="F121" i="1"/>
  <c r="G121" i="1"/>
  <c r="H121" i="1"/>
  <c r="I121" i="1"/>
  <c r="J121" i="1"/>
  <c r="K121" i="1"/>
  <c r="L121" i="1"/>
  <c r="M121" i="1"/>
  <c r="N121" i="1"/>
  <c r="N168" i="1"/>
  <c r="N41" i="2" s="1"/>
  <c r="N93" i="2" s="1"/>
  <c r="R7" i="6"/>
  <c r="R8" i="6"/>
  <c r="F29" i="7"/>
  <c r="O28" i="7"/>
  <c r="K171" i="1"/>
  <c r="K71" i="2"/>
  <c r="N11" i="14"/>
  <c r="N6" i="14"/>
  <c r="N10" i="3"/>
  <c r="Q8" i="6"/>
  <c r="M6" i="14"/>
  <c r="M11" i="14"/>
  <c r="M10" i="3"/>
  <c r="M33" i="2"/>
  <c r="N258" i="1"/>
  <c r="B255" i="1"/>
  <c r="D255" i="1"/>
  <c r="D256" i="1" s="1"/>
  <c r="E255" i="1"/>
  <c r="E256" i="1" s="1"/>
  <c r="F255" i="1"/>
  <c r="F256" i="1" s="1"/>
  <c r="G255" i="1"/>
  <c r="G256" i="1" s="1"/>
  <c r="H255" i="1"/>
  <c r="H256" i="1" s="1"/>
  <c r="I255" i="1"/>
  <c r="I256" i="1" s="1"/>
  <c r="J255" i="1"/>
  <c r="J256" i="1" s="1"/>
  <c r="K255" i="1"/>
  <c r="K256" i="1" s="1"/>
  <c r="L255" i="1"/>
  <c r="L256" i="1" s="1"/>
  <c r="M255" i="1"/>
  <c r="M256" i="1" s="1"/>
  <c r="N255" i="1"/>
  <c r="N256" i="1" s="1"/>
  <c r="B117" i="1"/>
  <c r="C122" i="1"/>
  <c r="E117" i="1"/>
  <c r="D117" i="1"/>
  <c r="F117" i="1"/>
  <c r="G117" i="1"/>
  <c r="H117" i="1"/>
  <c r="I117" i="1"/>
  <c r="J117" i="1"/>
  <c r="K117" i="1"/>
  <c r="L117" i="1"/>
  <c r="M117" i="1"/>
  <c r="N117" i="1"/>
  <c r="L168" i="1"/>
  <c r="L41" i="2" s="1"/>
  <c r="L93" i="2" s="1"/>
  <c r="B125" i="1"/>
  <c r="E125" i="1"/>
  <c r="D125" i="1"/>
  <c r="F125" i="1"/>
  <c r="G125" i="1"/>
  <c r="H125" i="1"/>
  <c r="I125" i="1"/>
  <c r="J125" i="1"/>
  <c r="K125" i="1"/>
  <c r="L125" i="1"/>
  <c r="M125" i="1"/>
  <c r="N125" i="1"/>
  <c r="H28" i="7"/>
  <c r="Q27" i="7"/>
  <c r="M167" i="1"/>
  <c r="C127" i="1" l="1"/>
  <c r="B122" i="1"/>
  <c r="D122" i="1"/>
  <c r="E122" i="1"/>
  <c r="F122" i="1"/>
  <c r="G122" i="1"/>
  <c r="H122" i="1"/>
  <c r="I122" i="1"/>
  <c r="J122" i="1"/>
  <c r="K122" i="1"/>
  <c r="L122" i="1"/>
  <c r="M122" i="1"/>
  <c r="N122" i="1"/>
  <c r="H13" i="5"/>
  <c r="H10" i="2"/>
  <c r="B126" i="1"/>
  <c r="E126" i="1"/>
  <c r="D126" i="1"/>
  <c r="F126" i="1"/>
  <c r="G126" i="1"/>
  <c r="H126" i="1"/>
  <c r="I126" i="1"/>
  <c r="J126" i="1"/>
  <c r="K126" i="1"/>
  <c r="L126" i="1"/>
  <c r="M126" i="1"/>
  <c r="N126" i="1"/>
  <c r="Q28" i="7"/>
  <c r="H29" i="7"/>
  <c r="K13" i="5"/>
  <c r="K10" i="2"/>
  <c r="G13" i="5"/>
  <c r="G10" i="2"/>
  <c r="S7" i="6"/>
  <c r="S8" i="6"/>
  <c r="N13" i="5"/>
  <c r="N10" i="2"/>
  <c r="J13" i="5"/>
  <c r="J10" i="2"/>
  <c r="F13" i="5"/>
  <c r="F10" i="2"/>
  <c r="N33" i="2"/>
  <c r="O29" i="7"/>
  <c r="K29" i="7"/>
  <c r="F30" i="7"/>
  <c r="P41" i="7"/>
  <c r="G42" i="7"/>
  <c r="L13" i="5"/>
  <c r="L10" i="2"/>
  <c r="D10" i="2"/>
  <c r="D257" i="1"/>
  <c r="K28" i="7"/>
  <c r="M168" i="1"/>
  <c r="M170" i="1"/>
  <c r="L170" i="1"/>
  <c r="M13" i="5"/>
  <c r="M10" i="2"/>
  <c r="I13" i="5"/>
  <c r="I10" i="2"/>
  <c r="E13" i="5"/>
  <c r="E10" i="2"/>
  <c r="F31" i="7" l="1"/>
  <c r="O30" i="7"/>
  <c r="L18" i="5"/>
  <c r="T7" i="6"/>
  <c r="T8" i="6" s="1"/>
  <c r="H12" i="14"/>
  <c r="H7" i="14"/>
  <c r="H13" i="3"/>
  <c r="H17" i="3" s="1"/>
  <c r="H11" i="2"/>
  <c r="I18" i="5"/>
  <c r="E257" i="1"/>
  <c r="D34" i="2"/>
  <c r="D36" i="2" s="1"/>
  <c r="F12" i="14"/>
  <c r="F7" i="14"/>
  <c r="F13" i="3"/>
  <c r="F17" i="3" s="1"/>
  <c r="F11" i="2"/>
  <c r="N7" i="14"/>
  <c r="N12" i="14"/>
  <c r="N13" i="3"/>
  <c r="N17" i="3" s="1"/>
  <c r="N11" i="2"/>
  <c r="K18" i="5"/>
  <c r="H18" i="5"/>
  <c r="E18" i="5"/>
  <c r="E42" i="5"/>
  <c r="M18" i="5"/>
  <c r="L12" i="14"/>
  <c r="L7" i="14"/>
  <c r="L13" i="3"/>
  <c r="L17" i="3" s="1"/>
  <c r="L11" i="2"/>
  <c r="J12" i="14"/>
  <c r="J7" i="14"/>
  <c r="J13" i="3"/>
  <c r="J17" i="3" s="1"/>
  <c r="J11" i="2"/>
  <c r="G18" i="5"/>
  <c r="I7" i="14"/>
  <c r="I12" i="14"/>
  <c r="I13" i="3"/>
  <c r="I17" i="3" s="1"/>
  <c r="I11" i="2"/>
  <c r="L171" i="1"/>
  <c r="L71" i="2"/>
  <c r="J18" i="5"/>
  <c r="K12" i="14"/>
  <c r="K7" i="14"/>
  <c r="K13" i="3"/>
  <c r="K17" i="3" s="1"/>
  <c r="K11" i="2"/>
  <c r="M71" i="2"/>
  <c r="M171" i="1"/>
  <c r="P42" i="7"/>
  <c r="G43" i="7"/>
  <c r="E12" i="14"/>
  <c r="E13" i="3"/>
  <c r="E17" i="3" s="1"/>
  <c r="E11" i="2"/>
  <c r="M12" i="14"/>
  <c r="M7" i="14"/>
  <c r="M13" i="3"/>
  <c r="M17" i="3" s="1"/>
  <c r="M11" i="2"/>
  <c r="M41" i="2"/>
  <c r="M93" i="2" s="1"/>
  <c r="N170" i="1"/>
  <c r="D13" i="3"/>
  <c r="D17" i="3" s="1"/>
  <c r="D11" i="2"/>
  <c r="F18" i="5"/>
  <c r="N18" i="5"/>
  <c r="G12" i="14"/>
  <c r="G7" i="14"/>
  <c r="G13" i="3"/>
  <c r="G17" i="3" s="1"/>
  <c r="G11" i="2"/>
  <c r="H30" i="7"/>
  <c r="K30" i="7" s="1"/>
  <c r="Q29" i="7"/>
  <c r="B127" i="1"/>
  <c r="E127" i="1"/>
  <c r="E128" i="1" s="1"/>
  <c r="E60" i="5" s="1"/>
  <c r="D127" i="1"/>
  <c r="D128" i="1" s="1"/>
  <c r="F127" i="1"/>
  <c r="F128" i="1" s="1"/>
  <c r="F60" i="5" s="1"/>
  <c r="G127" i="1"/>
  <c r="G128" i="1" s="1"/>
  <c r="G60" i="5" s="1"/>
  <c r="H127" i="1"/>
  <c r="H128" i="1" s="1"/>
  <c r="H60" i="5" s="1"/>
  <c r="I127" i="1"/>
  <c r="I128" i="1" s="1"/>
  <c r="I60" i="5" s="1"/>
  <c r="J127" i="1"/>
  <c r="J128" i="1" s="1"/>
  <c r="J60" i="5" s="1"/>
  <c r="K127" i="1"/>
  <c r="K128" i="1" s="1"/>
  <c r="K60" i="5" s="1"/>
  <c r="L127" i="1"/>
  <c r="L128" i="1" s="1"/>
  <c r="L60" i="5" s="1"/>
  <c r="M127" i="1"/>
  <c r="M128" i="1" s="1"/>
  <c r="M60" i="5" s="1"/>
  <c r="N127" i="1"/>
  <c r="N128" i="1" s="1"/>
  <c r="N60" i="5" s="1"/>
  <c r="N65" i="5" l="1"/>
  <c r="N62" i="5"/>
  <c r="F65" i="5"/>
  <c r="F62" i="5"/>
  <c r="N71" i="2"/>
  <c r="N171" i="1"/>
  <c r="M65" i="5"/>
  <c r="M62" i="5"/>
  <c r="D60" i="5"/>
  <c r="D129" i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N68" i="5" s="1"/>
  <c r="P43" i="7"/>
  <c r="G44" i="7"/>
  <c r="I16" i="14"/>
  <c r="N16" i="14"/>
  <c r="F16" i="14"/>
  <c r="H16" i="14"/>
  <c r="L65" i="5"/>
  <c r="L62" i="5"/>
  <c r="H65" i="5"/>
  <c r="H62" i="5"/>
  <c r="E65" i="5"/>
  <c r="E62" i="5"/>
  <c r="G16" i="14"/>
  <c r="M16" i="14"/>
  <c r="E16" i="14"/>
  <c r="F257" i="1"/>
  <c r="E34" i="2"/>
  <c r="E36" i="2" s="1"/>
  <c r="J65" i="5"/>
  <c r="J62" i="5"/>
  <c r="L16" i="14"/>
  <c r="I65" i="5"/>
  <c r="I62" i="5"/>
  <c r="Q30" i="7"/>
  <c r="H31" i="7"/>
  <c r="K16" i="14"/>
  <c r="C34" i="11"/>
  <c r="D177" i="1" s="1"/>
  <c r="D98" i="2"/>
  <c r="E24" i="14" s="1"/>
  <c r="U7" i="6"/>
  <c r="K65" i="5"/>
  <c r="K62" i="5"/>
  <c r="G65" i="5"/>
  <c r="G62" i="5"/>
  <c r="J16" i="14"/>
  <c r="F42" i="5"/>
  <c r="O31" i="7"/>
  <c r="F32" i="7"/>
  <c r="K63" i="5" l="1"/>
  <c r="K64" i="5"/>
  <c r="H32" i="7"/>
  <c r="Q31" i="7"/>
  <c r="P44" i="7"/>
  <c r="G45" i="7"/>
  <c r="K31" i="7"/>
  <c r="D265" i="1"/>
  <c r="D266" i="1" s="1"/>
  <c r="D181" i="1"/>
  <c r="F33" i="7"/>
  <c r="K32" i="7"/>
  <c r="O32" i="7"/>
  <c r="V7" i="6"/>
  <c r="V8" i="6"/>
  <c r="I64" i="5"/>
  <c r="I63" i="5"/>
  <c r="F34" i="2"/>
  <c r="F36" i="2" s="1"/>
  <c r="G257" i="1"/>
  <c r="E63" i="5"/>
  <c r="E64" i="5" s="1"/>
  <c r="N63" i="5"/>
  <c r="N64" i="5"/>
  <c r="G42" i="5"/>
  <c r="H63" i="5"/>
  <c r="H64" i="5" s="1"/>
  <c r="M63" i="5"/>
  <c r="M64" i="5"/>
  <c r="F63" i="5"/>
  <c r="F64" i="5"/>
  <c r="D34" i="11"/>
  <c r="E177" i="1" s="1"/>
  <c r="E181" i="1" s="1"/>
  <c r="E98" i="2"/>
  <c r="F24" i="14" s="1"/>
  <c r="G63" i="5"/>
  <c r="G64" i="5"/>
  <c r="L63" i="5"/>
  <c r="L64" i="5" s="1"/>
  <c r="U8" i="6"/>
  <c r="J63" i="5"/>
  <c r="J64" i="5" s="1"/>
  <c r="D62" i="5"/>
  <c r="D85" i="5"/>
  <c r="L87" i="5" l="1"/>
  <c r="L69" i="5"/>
  <c r="L95" i="5" s="1"/>
  <c r="H87" i="5"/>
  <c r="H69" i="5"/>
  <c r="H95" i="5" s="1"/>
  <c r="E87" i="5"/>
  <c r="E69" i="5"/>
  <c r="E95" i="5" s="1"/>
  <c r="J69" i="5"/>
  <c r="J95" i="5" s="1"/>
  <c r="J87" i="5"/>
  <c r="F69" i="5"/>
  <c r="F95" i="5" s="1"/>
  <c r="F87" i="5"/>
  <c r="H42" i="5"/>
  <c r="I87" i="5"/>
  <c r="I69" i="5"/>
  <c r="I95" i="5" s="1"/>
  <c r="Q32" i="7"/>
  <c r="H33" i="7"/>
  <c r="E85" i="5"/>
  <c r="D119" i="5"/>
  <c r="N69" i="5"/>
  <c r="N95" i="5" s="1"/>
  <c r="N87" i="5"/>
  <c r="G34" i="2"/>
  <c r="G36" i="2" s="1"/>
  <c r="H257" i="1"/>
  <c r="F34" i="7"/>
  <c r="O33" i="7"/>
  <c r="K33" i="7"/>
  <c r="P45" i="7"/>
  <c r="G46" i="7"/>
  <c r="K69" i="5"/>
  <c r="K95" i="5" s="1"/>
  <c r="K87" i="5"/>
  <c r="D64" i="5"/>
  <c r="D69" i="5" s="1"/>
  <c r="D95" i="5" s="1"/>
  <c r="D96" i="5" s="1"/>
  <c r="D63" i="5"/>
  <c r="M87" i="5"/>
  <c r="M69" i="5"/>
  <c r="M95" i="5" s="1"/>
  <c r="E34" i="11"/>
  <c r="F177" i="1" s="1"/>
  <c r="F181" i="1" s="1"/>
  <c r="F98" i="2"/>
  <c r="G24" i="14" s="1"/>
  <c r="W7" i="6"/>
  <c r="W8" i="6" s="1"/>
  <c r="D187" i="1"/>
  <c r="D12" i="2"/>
  <c r="T7" i="13"/>
  <c r="E14" i="5"/>
  <c r="E15" i="5" s="1"/>
  <c r="E12" i="2"/>
  <c r="E185" i="1"/>
  <c r="E42" i="2" s="1"/>
  <c r="E94" i="2" s="1"/>
  <c r="U7" i="13"/>
  <c r="D267" i="1"/>
  <c r="D268" i="1"/>
  <c r="G69" i="5"/>
  <c r="G95" i="5" s="1"/>
  <c r="G87" i="5"/>
  <c r="D66" i="2" l="1"/>
  <c r="D49" i="2"/>
  <c r="D188" i="1"/>
  <c r="D72" i="2"/>
  <c r="D109" i="5"/>
  <c r="D110" i="5" s="1"/>
  <c r="D100" i="5"/>
  <c r="E16" i="5"/>
  <c r="E17" i="5"/>
  <c r="F85" i="5"/>
  <c r="E119" i="5"/>
  <c r="E13" i="14"/>
  <c r="E11" i="3"/>
  <c r="E12" i="3" s="1"/>
  <c r="E20" i="2"/>
  <c r="E13" i="2"/>
  <c r="F14" i="5"/>
  <c r="F15" i="5" s="1"/>
  <c r="F12" i="2"/>
  <c r="F187" i="1"/>
  <c r="F185" i="1"/>
  <c r="F42" i="2" s="1"/>
  <c r="F94" i="2" s="1"/>
  <c r="V7" i="13"/>
  <c r="I257" i="1"/>
  <c r="H34" i="2"/>
  <c r="H36" i="2" s="1"/>
  <c r="F34" i="11"/>
  <c r="G177" i="1" s="1"/>
  <c r="G181" i="1" s="1"/>
  <c r="G98" i="2"/>
  <c r="H24" i="14" s="1"/>
  <c r="I42" i="5"/>
  <c r="D67" i="2"/>
  <c r="D278" i="1"/>
  <c r="D53" i="3" s="1"/>
  <c r="D286" i="1"/>
  <c r="E187" i="1"/>
  <c r="D11" i="3"/>
  <c r="D12" i="3" s="1"/>
  <c r="D14" i="3" s="1"/>
  <c r="D20" i="2"/>
  <c r="D13" i="2"/>
  <c r="P46" i="7"/>
  <c r="G47" i="7"/>
  <c r="O34" i="7"/>
  <c r="K34" i="7"/>
  <c r="F35" i="7"/>
  <c r="H34" i="7"/>
  <c r="Q33" i="7"/>
  <c r="D122" i="2" l="1"/>
  <c r="D125" i="2" s="1"/>
  <c r="D16" i="2"/>
  <c r="F72" i="2"/>
  <c r="F188" i="1"/>
  <c r="D290" i="1"/>
  <c r="D291" i="1" s="1"/>
  <c r="E292" i="1"/>
  <c r="E280" i="1" s="1"/>
  <c r="F292" i="1"/>
  <c r="G292" i="1"/>
  <c r="H292" i="1"/>
  <c r="I292" i="1"/>
  <c r="G34" i="11"/>
  <c r="H177" i="1" s="1"/>
  <c r="H181" i="1" s="1"/>
  <c r="H98" i="2"/>
  <c r="I24" i="14" s="1"/>
  <c r="J257" i="1"/>
  <c r="I34" i="2"/>
  <c r="I36" i="2" s="1"/>
  <c r="F13" i="14"/>
  <c r="F8" i="14"/>
  <c r="F11" i="3"/>
  <c r="F12" i="3" s="1"/>
  <c r="F20" i="2"/>
  <c r="F13" i="2"/>
  <c r="E18" i="14"/>
  <c r="E14" i="3"/>
  <c r="G85" i="5"/>
  <c r="F119" i="5"/>
  <c r="H35" i="7"/>
  <c r="Q34" i="7"/>
  <c r="P47" i="7"/>
  <c r="G48" i="7"/>
  <c r="F16" i="5"/>
  <c r="F17" i="5" s="1"/>
  <c r="E22" i="5"/>
  <c r="E94" i="5" s="1"/>
  <c r="E96" i="5" s="1"/>
  <c r="E44" i="5"/>
  <c r="E121" i="5"/>
  <c r="F36" i="7"/>
  <c r="O35" i="7"/>
  <c r="K35" i="7"/>
  <c r="E72" i="2"/>
  <c r="E188" i="1"/>
  <c r="J42" i="5"/>
  <c r="G14" i="5"/>
  <c r="G15" i="5" s="1"/>
  <c r="G12" i="2"/>
  <c r="G185" i="1"/>
  <c r="G42" i="2" s="1"/>
  <c r="G94" i="2" s="1"/>
  <c r="W7" i="13"/>
  <c r="E17" i="14"/>
  <c r="E122" i="2"/>
  <c r="E125" i="2" s="1"/>
  <c r="D69" i="2"/>
  <c r="F44" i="5" l="1"/>
  <c r="F121" i="5"/>
  <c r="F22" i="5"/>
  <c r="F94" i="5" s="1"/>
  <c r="F96" i="5" s="1"/>
  <c r="F109" i="5" s="1"/>
  <c r="H36" i="7"/>
  <c r="K36" i="7" s="1"/>
  <c r="Q35" i="7"/>
  <c r="J34" i="2"/>
  <c r="J36" i="2" s="1"/>
  <c r="K257" i="1"/>
  <c r="E291" i="1"/>
  <c r="D279" i="1"/>
  <c r="D40" i="2" s="1"/>
  <c r="E293" i="1"/>
  <c r="G16" i="5"/>
  <c r="G17" i="5" s="1"/>
  <c r="G187" i="1"/>
  <c r="O36" i="7"/>
  <c r="F37" i="7"/>
  <c r="H85" i="5"/>
  <c r="G119" i="5"/>
  <c r="F17" i="14"/>
  <c r="F122" i="2"/>
  <c r="F125" i="2" s="1"/>
  <c r="H14" i="5"/>
  <c r="H15" i="5" s="1"/>
  <c r="H12" i="2"/>
  <c r="H185" i="1"/>
  <c r="H42" i="2" s="1"/>
  <c r="H94" i="2" s="1"/>
  <c r="X7" i="13"/>
  <c r="D146" i="2"/>
  <c r="D149" i="2" s="1"/>
  <c r="D150" i="2" s="1"/>
  <c r="E126" i="2"/>
  <c r="G8" i="14"/>
  <c r="G13" i="14"/>
  <c r="G11" i="3"/>
  <c r="G12" i="3" s="1"/>
  <c r="G20" i="2"/>
  <c r="G13" i="2"/>
  <c r="F18" i="14"/>
  <c r="F14" i="3"/>
  <c r="E109" i="5"/>
  <c r="E110" i="5" s="1"/>
  <c r="P48" i="7"/>
  <c r="G49" i="7"/>
  <c r="K42" i="5"/>
  <c r="H34" i="11"/>
  <c r="I177" i="1" s="1"/>
  <c r="I181" i="1" s="1"/>
  <c r="I98" i="2"/>
  <c r="J24" i="14" s="1"/>
  <c r="E54" i="3"/>
  <c r="D156" i="2"/>
  <c r="D126" i="2"/>
  <c r="G44" i="5" l="1"/>
  <c r="G121" i="5"/>
  <c r="G22" i="5"/>
  <c r="G94" i="5" s="1"/>
  <c r="G96" i="5" s="1"/>
  <c r="G109" i="5" s="1"/>
  <c r="K34" i="2"/>
  <c r="K36" i="2" s="1"/>
  <c r="L257" i="1"/>
  <c r="F127" i="2"/>
  <c r="E128" i="2"/>
  <c r="E15" i="3"/>
  <c r="E16" i="3" s="1"/>
  <c r="H16" i="5"/>
  <c r="H17" i="5" s="1"/>
  <c r="I34" i="11"/>
  <c r="J177" i="1" s="1"/>
  <c r="J181" i="1" s="1"/>
  <c r="J98" i="2"/>
  <c r="K24" i="14" s="1"/>
  <c r="F126" i="2"/>
  <c r="I85" i="5"/>
  <c r="H119" i="5"/>
  <c r="D108" i="2"/>
  <c r="D45" i="2"/>
  <c r="D47" i="2" s="1"/>
  <c r="D157" i="2"/>
  <c r="E127" i="2"/>
  <c r="D15" i="3"/>
  <c r="D16" i="3" s="1"/>
  <c r="D128" i="2"/>
  <c r="P49" i="7"/>
  <c r="G50" i="7"/>
  <c r="H13" i="14"/>
  <c r="H8" i="14"/>
  <c r="H11" i="3"/>
  <c r="H12" i="3" s="1"/>
  <c r="H20" i="2"/>
  <c r="H13" i="2"/>
  <c r="F38" i="7"/>
  <c r="O37" i="7"/>
  <c r="H37" i="7"/>
  <c r="Q36" i="7"/>
  <c r="G18" i="14"/>
  <c r="G14" i="3"/>
  <c r="I14" i="5"/>
  <c r="I15" i="5" s="1"/>
  <c r="I12" i="2"/>
  <c r="I185" i="1"/>
  <c r="I42" i="2" s="1"/>
  <c r="I94" i="2" s="1"/>
  <c r="Y7" i="13"/>
  <c r="L42" i="5"/>
  <c r="D153" i="2"/>
  <c r="D152" i="2"/>
  <c r="D44" i="2" s="1"/>
  <c r="E151" i="2"/>
  <c r="E30" i="2" s="1"/>
  <c r="D17" i="2"/>
  <c r="D18" i="2" s="1"/>
  <c r="D51" i="2" s="1"/>
  <c r="F111" i="5"/>
  <c r="F110" i="5"/>
  <c r="E111" i="5"/>
  <c r="G17" i="14"/>
  <c r="G122" i="2"/>
  <c r="G125" i="2" s="1"/>
  <c r="H187" i="1"/>
  <c r="G188" i="1"/>
  <c r="G72" i="2"/>
  <c r="F293" i="1"/>
  <c r="F291" i="1"/>
  <c r="H121" i="5" l="1"/>
  <c r="H22" i="5"/>
  <c r="H94" i="5" s="1"/>
  <c r="H96" i="5" s="1"/>
  <c r="H44" i="5"/>
  <c r="G126" i="2"/>
  <c r="D160" i="2"/>
  <c r="D75" i="2"/>
  <c r="D76" i="2" s="1"/>
  <c r="D78" i="2" s="1"/>
  <c r="D80" i="2" s="1"/>
  <c r="I16" i="5"/>
  <c r="I17" i="5"/>
  <c r="H18" i="14"/>
  <c r="H14" i="3"/>
  <c r="E96" i="2"/>
  <c r="J34" i="11"/>
  <c r="K177" i="1" s="1"/>
  <c r="K181" i="1" s="1"/>
  <c r="K98" i="2"/>
  <c r="L24" i="14" s="1"/>
  <c r="G293" i="1"/>
  <c r="G291" i="1"/>
  <c r="E50" i="2"/>
  <c r="D52" i="2"/>
  <c r="D109" i="2" s="1"/>
  <c r="O38" i="7"/>
  <c r="F39" i="7"/>
  <c r="D159" i="2"/>
  <c r="D96" i="2"/>
  <c r="D97" i="2" s="1"/>
  <c r="D54" i="2"/>
  <c r="J85" i="5"/>
  <c r="I119" i="5"/>
  <c r="F92" i="2"/>
  <c r="H72" i="2"/>
  <c r="H188" i="1"/>
  <c r="H38" i="7"/>
  <c r="Q37" i="7"/>
  <c r="D110" i="2"/>
  <c r="F128" i="2"/>
  <c r="F15" i="3"/>
  <c r="F16" i="3" s="1"/>
  <c r="G127" i="2"/>
  <c r="E19" i="14"/>
  <c r="E101" i="3"/>
  <c r="I187" i="1"/>
  <c r="H17" i="14"/>
  <c r="H122" i="2"/>
  <c r="H125" i="2" s="1"/>
  <c r="D101" i="3"/>
  <c r="J14" i="5"/>
  <c r="J15" i="5" s="1"/>
  <c r="J12" i="2"/>
  <c r="J187" i="1"/>
  <c r="J185" i="1"/>
  <c r="J42" i="2" s="1"/>
  <c r="J94" i="2" s="1"/>
  <c r="Z7" i="13"/>
  <c r="G111" i="5"/>
  <c r="G110" i="5"/>
  <c r="M42" i="5"/>
  <c r="I8" i="14"/>
  <c r="I13" i="14"/>
  <c r="I11" i="3"/>
  <c r="I12" i="3" s="1"/>
  <c r="I20" i="2"/>
  <c r="I13" i="2"/>
  <c r="K37" i="7"/>
  <c r="P50" i="7"/>
  <c r="G51" i="7"/>
  <c r="E158" i="2"/>
  <c r="E92" i="2"/>
  <c r="E97" i="2" s="1"/>
  <c r="E129" i="2"/>
  <c r="M257" i="1"/>
  <c r="L34" i="2"/>
  <c r="L36" i="2" s="1"/>
  <c r="N42" i="5" l="1"/>
  <c r="J72" i="2"/>
  <c r="J188" i="1"/>
  <c r="D103" i="3"/>
  <c r="I72" i="2"/>
  <c r="I188" i="1"/>
  <c r="F19" i="14"/>
  <c r="F101" i="3"/>
  <c r="H39" i="7"/>
  <c r="Q38" i="7"/>
  <c r="F40" i="7"/>
  <c r="O39" i="7"/>
  <c r="K39" i="7"/>
  <c r="D27" i="2"/>
  <c r="E81" i="2"/>
  <c r="E79" i="2"/>
  <c r="K34" i="11"/>
  <c r="L177" i="1" s="1"/>
  <c r="L181" i="1" s="1"/>
  <c r="L98" i="2"/>
  <c r="M24" i="14" s="1"/>
  <c r="E99" i="2"/>
  <c r="E114" i="2"/>
  <c r="E18" i="3" s="1"/>
  <c r="E21" i="3" s="1"/>
  <c r="F23" i="14"/>
  <c r="I18" i="14"/>
  <c r="I14" i="3"/>
  <c r="J13" i="14"/>
  <c r="J8" i="14"/>
  <c r="J11" i="3"/>
  <c r="J12" i="3" s="1"/>
  <c r="J20" i="2"/>
  <c r="J13" i="2"/>
  <c r="G92" i="2"/>
  <c r="F96" i="2"/>
  <c r="F97" i="2" s="1"/>
  <c r="K38" i="7"/>
  <c r="H291" i="1"/>
  <c r="H293" i="1"/>
  <c r="K14" i="5"/>
  <c r="K15" i="5" s="1"/>
  <c r="K12" i="2"/>
  <c r="K187" i="1"/>
  <c r="K185" i="1"/>
  <c r="K42" i="2" s="1"/>
  <c r="K94" i="2" s="1"/>
  <c r="AA7" i="13"/>
  <c r="N257" i="1"/>
  <c r="M34" i="2"/>
  <c r="M36" i="2" s="1"/>
  <c r="J16" i="5"/>
  <c r="J17" i="5" s="1"/>
  <c r="H126" i="2"/>
  <c r="D114" i="2"/>
  <c r="D18" i="3" s="1"/>
  <c r="D21" i="3" s="1"/>
  <c r="D99" i="2"/>
  <c r="E23" i="14"/>
  <c r="I121" i="5"/>
  <c r="I22" i="5"/>
  <c r="I94" i="5" s="1"/>
  <c r="I96" i="5" s="1"/>
  <c r="I109" i="5" s="1"/>
  <c r="I44" i="5"/>
  <c r="G15" i="3"/>
  <c r="G16" i="3" s="1"/>
  <c r="G129" i="2"/>
  <c r="G128" i="2"/>
  <c r="H127" i="2"/>
  <c r="H109" i="5"/>
  <c r="P51" i="7"/>
  <c r="G52" i="7"/>
  <c r="I17" i="14"/>
  <c r="I122" i="2"/>
  <c r="I125" i="2" s="1"/>
  <c r="H110" i="5"/>
  <c r="F129" i="2"/>
  <c r="K85" i="5"/>
  <c r="J119" i="5"/>
  <c r="F114" i="2" l="1"/>
  <c r="F18" i="3" s="1"/>
  <c r="F21" i="3" s="1"/>
  <c r="F99" i="2"/>
  <c r="G23" i="14"/>
  <c r="J44" i="5"/>
  <c r="J121" i="5"/>
  <c r="J22" i="5"/>
  <c r="J94" i="5" s="1"/>
  <c r="J96" i="5" s="1"/>
  <c r="I127" i="2"/>
  <c r="H15" i="3"/>
  <c r="H16" i="3" s="1"/>
  <c r="H128" i="2"/>
  <c r="K72" i="2"/>
  <c r="K188" i="1"/>
  <c r="E83" i="3"/>
  <c r="E52" i="3"/>
  <c r="E35" i="3"/>
  <c r="P52" i="7"/>
  <c r="G53" i="7"/>
  <c r="K13" i="14"/>
  <c r="K8" i="14"/>
  <c r="K11" i="3"/>
  <c r="K12" i="3" s="1"/>
  <c r="K20" i="2"/>
  <c r="K13" i="2"/>
  <c r="H40" i="7"/>
  <c r="Q39" i="7"/>
  <c r="I126" i="2"/>
  <c r="G19" i="14"/>
  <c r="G101" i="3"/>
  <c r="K16" i="5"/>
  <c r="K17" i="5" s="1"/>
  <c r="G97" i="2"/>
  <c r="J18" i="14"/>
  <c r="J14" i="3"/>
  <c r="D31" i="2"/>
  <c r="D38" i="2" s="1"/>
  <c r="E263" i="1"/>
  <c r="E266" i="1" s="1"/>
  <c r="D101" i="2"/>
  <c r="D104" i="2" s="1"/>
  <c r="D106" i="2" s="1"/>
  <c r="D112" i="2" s="1"/>
  <c r="L85" i="5"/>
  <c r="K119" i="5"/>
  <c r="I110" i="5"/>
  <c r="D52" i="3"/>
  <c r="D58" i="3" s="1"/>
  <c r="D35" i="3"/>
  <c r="D36" i="3" s="1"/>
  <c r="D83" i="3"/>
  <c r="D26" i="3"/>
  <c r="L34" i="11"/>
  <c r="M177" i="1" s="1"/>
  <c r="M181" i="1" s="1"/>
  <c r="M98" i="2"/>
  <c r="N24" i="14" s="1"/>
  <c r="J17" i="14"/>
  <c r="J122" i="2"/>
  <c r="J125" i="2" s="1"/>
  <c r="F28" i="14"/>
  <c r="H111" i="5"/>
  <c r="N34" i="2"/>
  <c r="N36" i="2" s="1"/>
  <c r="N21" i="5"/>
  <c r="I291" i="1"/>
  <c r="I293" i="1"/>
  <c r="F102" i="3"/>
  <c r="F103" i="3" s="1"/>
  <c r="F25" i="14"/>
  <c r="E68" i="2"/>
  <c r="E14" i="2"/>
  <c r="H92" i="2"/>
  <c r="G96" i="2"/>
  <c r="E102" i="3"/>
  <c r="E25" i="14"/>
  <c r="E28" i="14" s="1"/>
  <c r="L14" i="5"/>
  <c r="L15" i="5" s="1"/>
  <c r="L187" i="1"/>
  <c r="L12" i="2"/>
  <c r="L185" i="1"/>
  <c r="L42" i="2" s="1"/>
  <c r="L94" i="2" s="1"/>
  <c r="AB7" i="13"/>
  <c r="O40" i="7"/>
  <c r="K40" i="7"/>
  <c r="F41" i="7"/>
  <c r="K44" i="5" l="1"/>
  <c r="K121" i="5"/>
  <c r="K22" i="5"/>
  <c r="K94" i="5" s="1"/>
  <c r="K96" i="5" s="1"/>
  <c r="K109" i="5" s="1"/>
  <c r="L188" i="1"/>
  <c r="L72" i="2"/>
  <c r="M34" i="11"/>
  <c r="N177" i="1" s="1"/>
  <c r="N181" i="1" s="1"/>
  <c r="N98" i="2"/>
  <c r="J126" i="2"/>
  <c r="D37" i="3"/>
  <c r="E37" i="3"/>
  <c r="E36" i="3"/>
  <c r="G114" i="2"/>
  <c r="G18" i="3" s="1"/>
  <c r="G21" i="3" s="1"/>
  <c r="G99" i="2"/>
  <c r="H23" i="14"/>
  <c r="H96" i="2"/>
  <c r="L16" i="5"/>
  <c r="L17" i="5"/>
  <c r="H97" i="2"/>
  <c r="D63" i="3"/>
  <c r="D72" i="3"/>
  <c r="D73" i="3" s="1"/>
  <c r="M85" i="5"/>
  <c r="L119" i="5"/>
  <c r="D56" i="2"/>
  <c r="H41" i="7"/>
  <c r="Q40" i="7"/>
  <c r="K18" i="14"/>
  <c r="K14" i="3"/>
  <c r="H129" i="2"/>
  <c r="J109" i="5"/>
  <c r="J110" i="5" s="1"/>
  <c r="G102" i="3"/>
  <c r="G25" i="14"/>
  <c r="G28" i="14" s="1"/>
  <c r="L13" i="14"/>
  <c r="L8" i="14"/>
  <c r="L11" i="3"/>
  <c r="L12" i="3" s="1"/>
  <c r="L20" i="2"/>
  <c r="L13" i="2"/>
  <c r="J127" i="2"/>
  <c r="I128" i="2"/>
  <c r="I15" i="3"/>
  <c r="I16" i="3" s="1"/>
  <c r="I129" i="2"/>
  <c r="K17" i="14"/>
  <c r="K122" i="2"/>
  <c r="K125" i="2" s="1"/>
  <c r="I92" i="2"/>
  <c r="E103" i="3"/>
  <c r="E132" i="2"/>
  <c r="M14" i="5"/>
  <c r="M15" i="5" s="1"/>
  <c r="M12" i="2"/>
  <c r="M185" i="1"/>
  <c r="M42" i="2" s="1"/>
  <c r="M94" i="2" s="1"/>
  <c r="AC7" i="13"/>
  <c r="E268" i="1"/>
  <c r="E267" i="1"/>
  <c r="G103" i="3"/>
  <c r="P53" i="7"/>
  <c r="G54" i="7"/>
  <c r="F42" i="7"/>
  <c r="O41" i="7"/>
  <c r="K41" i="7"/>
  <c r="J293" i="1"/>
  <c r="J291" i="1"/>
  <c r="I111" i="5"/>
  <c r="H19" i="14"/>
  <c r="H101" i="3"/>
  <c r="F83" i="3"/>
  <c r="F52" i="3"/>
  <c r="F35" i="3"/>
  <c r="K110" i="5" l="1"/>
  <c r="J111" i="5"/>
  <c r="E67" i="2"/>
  <c r="D299" i="1"/>
  <c r="E278" i="1"/>
  <c r="E53" i="3" s="1"/>
  <c r="N85" i="5"/>
  <c r="N119" i="5" s="1"/>
  <c r="M119" i="5"/>
  <c r="H99" i="2"/>
  <c r="H114" i="2"/>
  <c r="H18" i="3" s="1"/>
  <c r="H21" i="3" s="1"/>
  <c r="I23" i="14"/>
  <c r="H102" i="3"/>
  <c r="H25" i="14"/>
  <c r="H28" i="14" s="1"/>
  <c r="L17" i="14"/>
  <c r="L122" i="2"/>
  <c r="L125" i="2" s="1"/>
  <c r="L121" i="5"/>
  <c r="L22" i="5"/>
  <c r="L94" i="5" s="1"/>
  <c r="L96" i="5" s="1"/>
  <c r="L109" i="5" s="1"/>
  <c r="L44" i="5"/>
  <c r="H103" i="3"/>
  <c r="P54" i="7"/>
  <c r="G55" i="7"/>
  <c r="E66" i="2"/>
  <c r="E69" i="2" s="1"/>
  <c r="E49" i="2"/>
  <c r="M187" i="1"/>
  <c r="I96" i="2"/>
  <c r="I97" i="2" s="1"/>
  <c r="L18" i="14"/>
  <c r="L14" i="3"/>
  <c r="F36" i="3"/>
  <c r="M8" i="14"/>
  <c r="M13" i="14"/>
  <c r="M11" i="3"/>
  <c r="M12" i="3" s="1"/>
  <c r="M20" i="2"/>
  <c r="M13" i="2"/>
  <c r="E133" i="2"/>
  <c r="J92" i="2"/>
  <c r="M16" i="5"/>
  <c r="M17" i="5"/>
  <c r="D74" i="3"/>
  <c r="G83" i="3"/>
  <c r="G35" i="3"/>
  <c r="G52" i="3"/>
  <c r="N14" i="5"/>
  <c r="N15" i="5" s="1"/>
  <c r="N12" i="2"/>
  <c r="N185" i="1"/>
  <c r="N42" i="2" s="1"/>
  <c r="N94" i="2" s="1"/>
  <c r="AD7" i="13"/>
  <c r="K293" i="1"/>
  <c r="K291" i="1"/>
  <c r="O42" i="7"/>
  <c r="F43" i="7"/>
  <c r="K126" i="2"/>
  <c r="I19" i="14"/>
  <c r="I101" i="3"/>
  <c r="H42" i="7"/>
  <c r="Q41" i="7"/>
  <c r="J128" i="2"/>
  <c r="J15" i="3"/>
  <c r="J16" i="3" s="1"/>
  <c r="J129" i="2"/>
  <c r="K127" i="2"/>
  <c r="I99" i="2" l="1"/>
  <c r="I114" i="2"/>
  <c r="I18" i="3" s="1"/>
  <c r="I21" i="3" s="1"/>
  <c r="J23" i="14"/>
  <c r="N16" i="5"/>
  <c r="N17" i="5" s="1"/>
  <c r="M22" i="5"/>
  <c r="M94" i="5" s="1"/>
  <c r="M96" i="5" s="1"/>
  <c r="M109" i="5" s="1"/>
  <c r="M121" i="5"/>
  <c r="M44" i="5"/>
  <c r="M18" i="14"/>
  <c r="M14" i="3"/>
  <c r="G36" i="3"/>
  <c r="H35" i="3"/>
  <c r="H52" i="3"/>
  <c r="H83" i="3"/>
  <c r="J97" i="2"/>
  <c r="E135" i="2"/>
  <c r="F134" i="2"/>
  <c r="P55" i="7"/>
  <c r="G56" i="7"/>
  <c r="I102" i="3"/>
  <c r="I103" i="3" s="1"/>
  <c r="I25" i="14"/>
  <c r="I28" i="14" s="1"/>
  <c r="J19" i="14"/>
  <c r="J101" i="3"/>
  <c r="H43" i="7"/>
  <c r="Q42" i="7"/>
  <c r="F44" i="7"/>
  <c r="O43" i="7"/>
  <c r="K43" i="7"/>
  <c r="L291" i="1"/>
  <c r="L293" i="1"/>
  <c r="N187" i="1"/>
  <c r="M17" i="14"/>
  <c r="M122" i="2"/>
  <c r="M125" i="2" s="1"/>
  <c r="M72" i="2"/>
  <c r="M188" i="1"/>
  <c r="L126" i="2"/>
  <c r="L111" i="5"/>
  <c r="L110" i="5"/>
  <c r="K92" i="2"/>
  <c r="J96" i="2"/>
  <c r="K15" i="3"/>
  <c r="K16" i="3" s="1"/>
  <c r="K129" i="2"/>
  <c r="K128" i="2"/>
  <c r="L127" i="2"/>
  <c r="K42" i="7"/>
  <c r="N8" i="14"/>
  <c r="N13" i="14"/>
  <c r="N11" i="3"/>
  <c r="N12" i="3" s="1"/>
  <c r="N20" i="2"/>
  <c r="N13" i="2"/>
  <c r="F37" i="3"/>
  <c r="E303" i="1"/>
  <c r="E304" i="1" s="1"/>
  <c r="G305" i="1"/>
  <c r="G280" i="1" s="1"/>
  <c r="F305" i="1"/>
  <c r="F280" i="1" s="1"/>
  <c r="H305" i="1"/>
  <c r="H280" i="1" s="1"/>
  <c r="I305" i="1"/>
  <c r="I280" i="1" s="1"/>
  <c r="J305" i="1"/>
  <c r="J280" i="1" s="1"/>
  <c r="K111" i="5"/>
  <c r="N121" i="5" l="1"/>
  <c r="N44" i="5"/>
  <c r="N22" i="5"/>
  <c r="N94" i="5" s="1"/>
  <c r="N96" i="5" s="1"/>
  <c r="H54" i="3"/>
  <c r="N72" i="2"/>
  <c r="N188" i="1"/>
  <c r="J28" i="14"/>
  <c r="P56" i="7"/>
  <c r="G57" i="7"/>
  <c r="F282" i="1"/>
  <c r="F74" i="2" s="1"/>
  <c r="F54" i="3"/>
  <c r="N18" i="14"/>
  <c r="N14" i="3"/>
  <c r="M126" i="2"/>
  <c r="H44" i="7"/>
  <c r="Q43" i="7"/>
  <c r="E136" i="2"/>
  <c r="H36" i="3"/>
  <c r="I83" i="3"/>
  <c r="I52" i="3"/>
  <c r="I35" i="3"/>
  <c r="J54" i="3"/>
  <c r="G54" i="3"/>
  <c r="L92" i="2"/>
  <c r="K19" i="14"/>
  <c r="K101" i="3"/>
  <c r="O44" i="7"/>
  <c r="K44" i="7"/>
  <c r="F45" i="7"/>
  <c r="J114" i="2"/>
  <c r="J18" i="3" s="1"/>
  <c r="J21" i="3" s="1"/>
  <c r="J99" i="2"/>
  <c r="K23" i="14"/>
  <c r="G37" i="3"/>
  <c r="J102" i="3"/>
  <c r="J25" i="14"/>
  <c r="I54" i="3"/>
  <c r="F304" i="1"/>
  <c r="F306" i="1"/>
  <c r="F281" i="1" s="1"/>
  <c r="E306" i="1"/>
  <c r="E281" i="1" s="1"/>
  <c r="E279" i="1"/>
  <c r="E40" i="2" s="1"/>
  <c r="N17" i="14"/>
  <c r="N122" i="2"/>
  <c r="N125" i="2" s="1"/>
  <c r="K96" i="2"/>
  <c r="K97" i="2" s="1"/>
  <c r="M110" i="5"/>
  <c r="M127" i="2"/>
  <c r="L15" i="3"/>
  <c r="L16" i="3" s="1"/>
  <c r="L128" i="2"/>
  <c r="M291" i="1"/>
  <c r="M293" i="1"/>
  <c r="J103" i="3"/>
  <c r="K114" i="2" l="1"/>
  <c r="K18" i="3" s="1"/>
  <c r="K21" i="3" s="1"/>
  <c r="K99" i="2"/>
  <c r="L23" i="14"/>
  <c r="N293" i="1"/>
  <c r="N291" i="1"/>
  <c r="M92" i="2"/>
  <c r="G306" i="1"/>
  <c r="G281" i="1" s="1"/>
  <c r="G304" i="1"/>
  <c r="F279" i="1"/>
  <c r="F40" i="2" s="1"/>
  <c r="K103" i="3"/>
  <c r="I36" i="3"/>
  <c r="I37" i="3"/>
  <c r="H45" i="7"/>
  <c r="Q44" i="7"/>
  <c r="P57" i="7"/>
  <c r="G58" i="7"/>
  <c r="N109" i="5"/>
  <c r="N110" i="5" s="1"/>
  <c r="N111" i="5" s="1"/>
  <c r="D111" i="5" s="1"/>
  <c r="D104" i="5" s="1"/>
  <c r="D102" i="5"/>
  <c r="L96" i="2"/>
  <c r="E108" i="2"/>
  <c r="K102" i="3"/>
  <c r="K25" i="14"/>
  <c r="K28" i="14"/>
  <c r="H37" i="3"/>
  <c r="L129" i="2"/>
  <c r="N126" i="2"/>
  <c r="E56" i="3"/>
  <c r="E15" i="2"/>
  <c r="E282" i="1"/>
  <c r="E74" i="2" s="1"/>
  <c r="J83" i="3"/>
  <c r="J52" i="3"/>
  <c r="J35" i="3"/>
  <c r="L97" i="2"/>
  <c r="L19" i="14"/>
  <c r="L101" i="3"/>
  <c r="M111" i="5"/>
  <c r="F56" i="3"/>
  <c r="F57" i="3" s="1"/>
  <c r="F15" i="2"/>
  <c r="F139" i="2" s="1"/>
  <c r="F140" i="2" s="1"/>
  <c r="F46" i="7"/>
  <c r="O45" i="7"/>
  <c r="K45" i="7"/>
  <c r="N127" i="2"/>
  <c r="M128" i="2"/>
  <c r="M129" i="2"/>
  <c r="M15" i="3"/>
  <c r="M16" i="3" s="1"/>
  <c r="M19" i="14" l="1"/>
  <c r="M101" i="3"/>
  <c r="N92" i="2"/>
  <c r="F142" i="2"/>
  <c r="G141" i="2"/>
  <c r="N128" i="2"/>
  <c r="N15" i="3"/>
  <c r="N16" i="3" s="1"/>
  <c r="G56" i="3"/>
  <c r="G57" i="3" s="1"/>
  <c r="G15" i="2"/>
  <c r="G139" i="2" s="1"/>
  <c r="G140" i="2" s="1"/>
  <c r="G282" i="1"/>
  <c r="G74" i="2" s="1"/>
  <c r="L102" i="3"/>
  <c r="L103" i="3" s="1"/>
  <c r="L25" i="14"/>
  <c r="L28" i="14"/>
  <c r="L114" i="2"/>
  <c r="L18" i="3" s="1"/>
  <c r="L21" i="3" s="1"/>
  <c r="L99" i="2"/>
  <c r="M23" i="14"/>
  <c r="H46" i="7"/>
  <c r="Q45" i="7"/>
  <c r="M97" i="2"/>
  <c r="K35" i="3"/>
  <c r="K83" i="3"/>
  <c r="K52" i="3"/>
  <c r="E139" i="2"/>
  <c r="E16" i="2"/>
  <c r="D123" i="7"/>
  <c r="P58" i="7"/>
  <c r="G59" i="7"/>
  <c r="F108" i="2"/>
  <c r="M96" i="2"/>
  <c r="O46" i="7"/>
  <c r="K46" i="7"/>
  <c r="F47" i="7"/>
  <c r="E57" i="3"/>
  <c r="E58" i="3"/>
  <c r="J36" i="3"/>
  <c r="H306" i="1"/>
  <c r="H281" i="1" s="1"/>
  <c r="H304" i="1"/>
  <c r="G279" i="1"/>
  <c r="G40" i="2" s="1"/>
  <c r="I304" i="1" l="1"/>
  <c r="I306" i="1"/>
  <c r="I281" i="1" s="1"/>
  <c r="H279" i="1"/>
  <c r="H40" i="2" s="1"/>
  <c r="F48" i="7"/>
  <c r="O47" i="7"/>
  <c r="M102" i="3"/>
  <c r="M25" i="14"/>
  <c r="N19" i="14"/>
  <c r="N101" i="3"/>
  <c r="H56" i="3"/>
  <c r="H57" i="3" s="1"/>
  <c r="H15" i="2"/>
  <c r="H139" i="2" s="1"/>
  <c r="H140" i="2" s="1"/>
  <c r="H282" i="1"/>
  <c r="H74" i="2" s="1"/>
  <c r="E72" i="3"/>
  <c r="E73" i="3" s="1"/>
  <c r="D136" i="7"/>
  <c r="I139" i="7" s="1"/>
  <c r="H47" i="7"/>
  <c r="Q46" i="7"/>
  <c r="L35" i="3"/>
  <c r="L83" i="3"/>
  <c r="L52" i="3"/>
  <c r="N96" i="2"/>
  <c r="M103" i="3"/>
  <c r="K36" i="3"/>
  <c r="E146" i="2"/>
  <c r="E149" i="2" s="1"/>
  <c r="E150" i="2" s="1"/>
  <c r="M99" i="2"/>
  <c r="M114" i="2"/>
  <c r="M18" i="3" s="1"/>
  <c r="M21" i="3" s="1"/>
  <c r="N23" i="14"/>
  <c r="G142" i="2"/>
  <c r="H141" i="2"/>
  <c r="G108" i="2"/>
  <c r="J37" i="3"/>
  <c r="P59" i="7"/>
  <c r="G60" i="7"/>
  <c r="E140" i="2"/>
  <c r="E156" i="2"/>
  <c r="N129" i="2"/>
  <c r="N97" i="2"/>
  <c r="M28" i="14"/>
  <c r="M83" i="3" l="1"/>
  <c r="M52" i="3"/>
  <c r="M35" i="3"/>
  <c r="E153" i="2"/>
  <c r="E75" i="2" s="1"/>
  <c r="E76" i="2" s="1"/>
  <c r="E78" i="2" s="1"/>
  <c r="E80" i="2" s="1"/>
  <c r="F151" i="2"/>
  <c r="F30" i="2" s="1"/>
  <c r="E152" i="2"/>
  <c r="E44" i="2" s="1"/>
  <c r="E45" i="2" s="1"/>
  <c r="E47" i="2" s="1"/>
  <c r="E17" i="2"/>
  <c r="E18" i="2" s="1"/>
  <c r="H48" i="7"/>
  <c r="Q47" i="7"/>
  <c r="I141" i="2"/>
  <c r="H142" i="2"/>
  <c r="H143" i="2" s="1"/>
  <c r="J304" i="1"/>
  <c r="J306" i="1"/>
  <c r="J281" i="1" s="1"/>
  <c r="I279" i="1"/>
  <c r="I40" i="2" s="1"/>
  <c r="F141" i="2"/>
  <c r="E142" i="2"/>
  <c r="E143" i="2"/>
  <c r="E160" i="2" s="1"/>
  <c r="E157" i="2"/>
  <c r="N102" i="3"/>
  <c r="N25" i="14"/>
  <c r="N28" i="14" s="1"/>
  <c r="L37" i="3"/>
  <c r="L36" i="3"/>
  <c r="O48" i="7"/>
  <c r="K48" i="7"/>
  <c r="F49" i="7"/>
  <c r="N114" i="2"/>
  <c r="N18" i="3" s="1"/>
  <c r="N99" i="2"/>
  <c r="N20" i="3" s="1"/>
  <c r="P60" i="7"/>
  <c r="G61" i="7"/>
  <c r="K37" i="3"/>
  <c r="E74" i="3"/>
  <c r="H108" i="2"/>
  <c r="N103" i="3"/>
  <c r="K47" i="7"/>
  <c r="I56" i="3"/>
  <c r="I57" i="3" s="1"/>
  <c r="I15" i="2"/>
  <c r="I139" i="2" s="1"/>
  <c r="I140" i="2" s="1"/>
  <c r="I282" i="1"/>
  <c r="I74" i="2" s="1"/>
  <c r="P61" i="7" l="1"/>
  <c r="G62" i="7"/>
  <c r="F50" i="7"/>
  <c r="O49" i="7"/>
  <c r="K49" i="7"/>
  <c r="J56" i="3"/>
  <c r="J57" i="3" s="1"/>
  <c r="J15" i="2"/>
  <c r="J139" i="2" s="1"/>
  <c r="J140" i="2" s="1"/>
  <c r="J282" i="1"/>
  <c r="J74" i="2" s="1"/>
  <c r="E103" i="2"/>
  <c r="E159" i="2"/>
  <c r="K304" i="1"/>
  <c r="J279" i="1"/>
  <c r="J40" i="2" s="1"/>
  <c r="F79" i="2"/>
  <c r="E27" i="2"/>
  <c r="F81" i="2"/>
  <c r="J141" i="2"/>
  <c r="I142" i="2"/>
  <c r="I143" i="2" s="1"/>
  <c r="F102" i="2"/>
  <c r="F158" i="2"/>
  <c r="F143" i="2"/>
  <c r="G143" i="2"/>
  <c r="E30" i="14"/>
  <c r="E20" i="14"/>
  <c r="E51" i="2"/>
  <c r="N21" i="3"/>
  <c r="M36" i="3"/>
  <c r="M37" i="3"/>
  <c r="I108" i="2"/>
  <c r="H49" i="7"/>
  <c r="Q48" i="7"/>
  <c r="N83" i="3" l="1"/>
  <c r="N52" i="3"/>
  <c r="N35" i="3"/>
  <c r="N36" i="3" s="1"/>
  <c r="N37" i="3" s="1"/>
  <c r="D31" i="3" s="1"/>
  <c r="D29" i="3"/>
  <c r="J142" i="2"/>
  <c r="J143" i="2"/>
  <c r="K141" i="2"/>
  <c r="O50" i="7"/>
  <c r="F51" i="7"/>
  <c r="J108" i="2"/>
  <c r="P62" i="7"/>
  <c r="G63" i="7"/>
  <c r="F50" i="2"/>
  <c r="E52" i="2"/>
  <c r="F68" i="2"/>
  <c r="F14" i="2"/>
  <c r="L304" i="1"/>
  <c r="K306" i="1"/>
  <c r="K281" i="1" s="1"/>
  <c r="K279" i="1"/>
  <c r="K40" i="2" s="1"/>
  <c r="H50" i="7"/>
  <c r="Q49" i="7"/>
  <c r="E101" i="2"/>
  <c r="E104" i="2" s="1"/>
  <c r="E106" i="2" s="1"/>
  <c r="E31" i="2"/>
  <c r="E38" i="2" s="1"/>
  <c r="F263" i="1"/>
  <c r="F266" i="1" s="1"/>
  <c r="H51" i="7" l="1"/>
  <c r="Q50" i="7"/>
  <c r="F132" i="2"/>
  <c r="F16" i="2"/>
  <c r="P63" i="7"/>
  <c r="G64" i="7"/>
  <c r="K108" i="2"/>
  <c r="F52" i="7"/>
  <c r="O51" i="7"/>
  <c r="K51" i="7"/>
  <c r="F268" i="1"/>
  <c r="F267" i="1"/>
  <c r="K56" i="3"/>
  <c r="K57" i="3" s="1"/>
  <c r="K15" i="2"/>
  <c r="K139" i="2" s="1"/>
  <c r="K140" i="2" s="1"/>
  <c r="K282" i="1"/>
  <c r="K74" i="2" s="1"/>
  <c r="E109" i="2"/>
  <c r="E110" i="2" s="1"/>
  <c r="E112" i="2" s="1"/>
  <c r="E54" i="2"/>
  <c r="E56" i="2" s="1"/>
  <c r="K50" i="7"/>
  <c r="U15" i="13"/>
  <c r="M304" i="1"/>
  <c r="L306" i="1"/>
  <c r="L281" i="1" s="1"/>
  <c r="L279" i="1"/>
  <c r="L40" i="2" s="1"/>
  <c r="F133" i="2" l="1"/>
  <c r="L108" i="2"/>
  <c r="F66" i="2"/>
  <c r="F49" i="2"/>
  <c r="P64" i="7"/>
  <c r="G65" i="7"/>
  <c r="L56" i="3"/>
  <c r="L57" i="3" s="1"/>
  <c r="L15" i="2"/>
  <c r="L139" i="2" s="1"/>
  <c r="L140" i="2" s="1"/>
  <c r="L282" i="1"/>
  <c r="L74" i="2" s="1"/>
  <c r="F67" i="2"/>
  <c r="F278" i="1"/>
  <c r="F53" i="3" s="1"/>
  <c r="F58" i="3" s="1"/>
  <c r="O52" i="7"/>
  <c r="K52" i="7"/>
  <c r="F53" i="7"/>
  <c r="H52" i="7"/>
  <c r="Q51" i="7"/>
  <c r="N304" i="1"/>
  <c r="M306" i="1"/>
  <c r="M281" i="1" s="1"/>
  <c r="M279" i="1"/>
  <c r="M40" i="2" s="1"/>
  <c r="L141" i="2"/>
  <c r="K142" i="2"/>
  <c r="K143" i="2" s="1"/>
  <c r="F146" i="2"/>
  <c r="F149" i="2" s="1"/>
  <c r="F150" i="2" s="1"/>
  <c r="M56" i="3" l="1"/>
  <c r="M57" i="3" s="1"/>
  <c r="M15" i="2"/>
  <c r="M139" i="2" s="1"/>
  <c r="M140" i="2" s="1"/>
  <c r="M282" i="1"/>
  <c r="M74" i="2" s="1"/>
  <c r="F54" i="7"/>
  <c r="O53" i="7"/>
  <c r="K53" i="7"/>
  <c r="F69" i="2"/>
  <c r="G134" i="2"/>
  <c r="F135" i="2"/>
  <c r="F157" i="2"/>
  <c r="N306" i="1"/>
  <c r="N281" i="1" s="1"/>
  <c r="N279" i="1"/>
  <c r="N40" i="2" s="1"/>
  <c r="P65" i="7"/>
  <c r="G66" i="7"/>
  <c r="G151" i="2"/>
  <c r="G30" i="2" s="1"/>
  <c r="F17" i="2"/>
  <c r="F18" i="2" s="1"/>
  <c r="F152" i="2"/>
  <c r="F44" i="2" s="1"/>
  <c r="F45" i="2" s="1"/>
  <c r="F47" i="2" s="1"/>
  <c r="F153" i="2"/>
  <c r="F75" i="2" s="1"/>
  <c r="F76" i="2" s="1"/>
  <c r="M108" i="2"/>
  <c r="H53" i="7"/>
  <c r="Q52" i="7"/>
  <c r="F72" i="3"/>
  <c r="F73" i="3" s="1"/>
  <c r="M141" i="2"/>
  <c r="L142" i="2"/>
  <c r="L143" i="2" s="1"/>
  <c r="F156" i="2"/>
  <c r="F74" i="3" l="1"/>
  <c r="F103" i="2"/>
  <c r="F159" i="2"/>
  <c r="N141" i="2"/>
  <c r="M142" i="2"/>
  <c r="M143" i="2" s="1"/>
  <c r="N108" i="2"/>
  <c r="F136" i="2"/>
  <c r="F160" i="2" s="1"/>
  <c r="H54" i="7"/>
  <c r="Q53" i="7"/>
  <c r="N56" i="3"/>
  <c r="N57" i="3" s="1"/>
  <c r="N15" i="2"/>
  <c r="N139" i="2" s="1"/>
  <c r="N140" i="2" s="1"/>
  <c r="N282" i="1"/>
  <c r="N74" i="2" s="1"/>
  <c r="G102" i="2"/>
  <c r="G158" i="2"/>
  <c r="O54" i="7"/>
  <c r="K54" i="7"/>
  <c r="F55" i="7"/>
  <c r="F20" i="14"/>
  <c r="F30" i="14"/>
  <c r="F51" i="2"/>
  <c r="P66" i="7"/>
  <c r="G67" i="7"/>
  <c r="F78" i="2"/>
  <c r="F80" i="2" s="1"/>
  <c r="P67" i="7" l="1"/>
  <c r="G68" i="7"/>
  <c r="G50" i="2"/>
  <c r="F52" i="2"/>
  <c r="F56" i="7"/>
  <c r="O55" i="7"/>
  <c r="G81" i="2"/>
  <c r="G79" i="2"/>
  <c r="F27" i="2"/>
  <c r="N142" i="2"/>
  <c r="N143" i="2"/>
  <c r="H55" i="7"/>
  <c r="Q54" i="7"/>
  <c r="F101" i="2" l="1"/>
  <c r="F104" i="2" s="1"/>
  <c r="F106" i="2" s="1"/>
  <c r="F112" i="2" s="1"/>
  <c r="F31" i="2"/>
  <c r="F38" i="2" s="1"/>
  <c r="G263" i="1"/>
  <c r="G266" i="1" s="1"/>
  <c r="O56" i="7"/>
  <c r="F57" i="7"/>
  <c r="H56" i="7"/>
  <c r="Q55" i="7"/>
  <c r="K55" i="7"/>
  <c r="P68" i="7"/>
  <c r="D124" i="7"/>
  <c r="G69" i="7"/>
  <c r="F7" i="7"/>
  <c r="G68" i="2"/>
  <c r="G14" i="2"/>
  <c r="F109" i="2"/>
  <c r="F110" i="2" s="1"/>
  <c r="F54" i="2"/>
  <c r="G132" i="2" l="1"/>
  <c r="G16" i="2"/>
  <c r="D137" i="7"/>
  <c r="I138" i="7" s="1"/>
  <c r="H57" i="7"/>
  <c r="Q56" i="7"/>
  <c r="G267" i="1"/>
  <c r="G268" i="1"/>
  <c r="F58" i="7"/>
  <c r="O57" i="7"/>
  <c r="K57" i="7"/>
  <c r="F56" i="2"/>
  <c r="V15" i="13"/>
  <c r="K56" i="7"/>
  <c r="P69" i="7"/>
  <c r="G70" i="7"/>
  <c r="O58" i="7" l="1"/>
  <c r="C123" i="7"/>
  <c r="K58" i="7"/>
  <c r="F59" i="7"/>
  <c r="H58" i="7"/>
  <c r="Q57" i="7"/>
  <c r="G146" i="2"/>
  <c r="G149" i="2" s="1"/>
  <c r="G150" i="2" s="1"/>
  <c r="G66" i="2"/>
  <c r="G49" i="2"/>
  <c r="P70" i="7"/>
  <c r="G71" i="7"/>
  <c r="G278" i="1"/>
  <c r="G53" i="3" s="1"/>
  <c r="G58" i="3" s="1"/>
  <c r="G67" i="2"/>
  <c r="G133" i="2"/>
  <c r="G156" i="2"/>
  <c r="P71" i="7" l="1"/>
  <c r="G72" i="7"/>
  <c r="F60" i="7"/>
  <c r="O59" i="7"/>
  <c r="H151" i="2"/>
  <c r="H30" i="2" s="1"/>
  <c r="G152" i="2"/>
  <c r="G44" i="2" s="1"/>
  <c r="G45" i="2" s="1"/>
  <c r="G47" i="2" s="1"/>
  <c r="G17" i="2"/>
  <c r="G18" i="2" s="1"/>
  <c r="I123" i="7"/>
  <c r="H123" i="7"/>
  <c r="C136" i="7"/>
  <c r="H139" i="7" s="1"/>
  <c r="H134" i="2"/>
  <c r="G135" i="2"/>
  <c r="G136" i="2"/>
  <c r="G157" i="2"/>
  <c r="G72" i="3"/>
  <c r="G73" i="3" s="1"/>
  <c r="G69" i="2"/>
  <c r="H59" i="7"/>
  <c r="E123" i="7"/>
  <c r="Q58" i="7"/>
  <c r="H60" i="7" l="1"/>
  <c r="Q59" i="7"/>
  <c r="P72" i="7"/>
  <c r="G73" i="7"/>
  <c r="G78" i="2"/>
  <c r="G80" i="2" s="1"/>
  <c r="G153" i="2"/>
  <c r="G75" i="2" s="1"/>
  <c r="G76" i="2" s="1"/>
  <c r="O60" i="7"/>
  <c r="K60" i="7"/>
  <c r="F61" i="7"/>
  <c r="G103" i="2"/>
  <c r="G159" i="2"/>
  <c r="E136" i="7"/>
  <c r="J139" i="7" s="1"/>
  <c r="G74" i="3"/>
  <c r="H102" i="2"/>
  <c r="H158" i="2"/>
  <c r="G30" i="14"/>
  <c r="G20" i="14"/>
  <c r="G51" i="2"/>
  <c r="K59" i="7"/>
  <c r="H81" i="2" l="1"/>
  <c r="H79" i="2"/>
  <c r="G27" i="2"/>
  <c r="H50" i="2"/>
  <c r="G52" i="2"/>
  <c r="F62" i="7"/>
  <c r="O61" i="7"/>
  <c r="P73" i="7"/>
  <c r="G74" i="7"/>
  <c r="G160" i="2"/>
  <c r="H61" i="7"/>
  <c r="Q60" i="7"/>
  <c r="P74" i="7" l="1"/>
  <c r="G75" i="7"/>
  <c r="O62" i="7"/>
  <c r="F63" i="7"/>
  <c r="G101" i="2"/>
  <c r="G104" i="2" s="1"/>
  <c r="G106" i="2" s="1"/>
  <c r="G112" i="2" s="1"/>
  <c r="H263" i="1"/>
  <c r="H266" i="1" s="1"/>
  <c r="G31" i="2"/>
  <c r="G38" i="2" s="1"/>
  <c r="H62" i="7"/>
  <c r="Q61" i="7"/>
  <c r="K61" i="7"/>
  <c r="G109" i="2"/>
  <c r="G110" i="2" s="1"/>
  <c r="G54" i="2"/>
  <c r="H14" i="2"/>
  <c r="H68" i="2"/>
  <c r="H132" i="2" l="1"/>
  <c r="H16" i="2"/>
  <c r="P75" i="7"/>
  <c r="G76" i="7"/>
  <c r="F64" i="7"/>
  <c r="O63" i="7"/>
  <c r="K63" i="7"/>
  <c r="H267" i="1"/>
  <c r="H268" i="1"/>
  <c r="H63" i="7"/>
  <c r="Q62" i="7"/>
  <c r="G56" i="2"/>
  <c r="W15" i="13"/>
  <c r="K62" i="7"/>
  <c r="H66" i="2" l="1"/>
  <c r="H49" i="2"/>
  <c r="P76" i="7"/>
  <c r="G77" i="7"/>
  <c r="H64" i="7"/>
  <c r="Q63" i="7"/>
  <c r="H146" i="2"/>
  <c r="H149" i="2" s="1"/>
  <c r="H150" i="2" s="1"/>
  <c r="H67" i="2"/>
  <c r="H278" i="1"/>
  <c r="H53" i="3" s="1"/>
  <c r="H58" i="3" s="1"/>
  <c r="O64" i="7"/>
  <c r="K64" i="7"/>
  <c r="F65" i="7"/>
  <c r="H133" i="2"/>
  <c r="H156" i="2"/>
  <c r="P77" i="7" l="1"/>
  <c r="G78" i="7"/>
  <c r="H72" i="3"/>
  <c r="H73" i="3" s="1"/>
  <c r="H152" i="2"/>
  <c r="H44" i="2" s="1"/>
  <c r="H45" i="2" s="1"/>
  <c r="H47" i="2" s="1"/>
  <c r="I151" i="2"/>
  <c r="I30" i="2" s="1"/>
  <c r="H17" i="2"/>
  <c r="H18" i="2" s="1"/>
  <c r="H135" i="2"/>
  <c r="H136" i="2"/>
  <c r="I134" i="2"/>
  <c r="H157" i="2"/>
  <c r="F66" i="7"/>
  <c r="O65" i="7"/>
  <c r="H65" i="7"/>
  <c r="Q64" i="7"/>
  <c r="H69" i="2"/>
  <c r="H160" i="2" l="1"/>
  <c r="O66" i="7"/>
  <c r="F67" i="7"/>
  <c r="H103" i="2"/>
  <c r="H159" i="2"/>
  <c r="H153" i="2"/>
  <c r="H75" i="2" s="1"/>
  <c r="H76" i="2" s="1"/>
  <c r="H78" i="2" s="1"/>
  <c r="H80" i="2" s="1"/>
  <c r="H74" i="3"/>
  <c r="H66" i="7"/>
  <c r="Q65" i="7"/>
  <c r="H30" i="14"/>
  <c r="H20" i="14"/>
  <c r="H51" i="2"/>
  <c r="D125" i="7"/>
  <c r="P78" i="7"/>
  <c r="G79" i="7"/>
  <c r="K65" i="7"/>
  <c r="I102" i="2"/>
  <c r="I158" i="2"/>
  <c r="I81" i="2" l="1"/>
  <c r="I79" i="2"/>
  <c r="H27" i="2"/>
  <c r="D138" i="7"/>
  <c r="I137" i="7" s="1"/>
  <c r="H67" i="7"/>
  <c r="Q66" i="7"/>
  <c r="K66" i="7"/>
  <c r="I50" i="2"/>
  <c r="H52" i="2"/>
  <c r="F68" i="7"/>
  <c r="O67" i="7"/>
  <c r="P79" i="7"/>
  <c r="G80" i="7"/>
  <c r="P80" i="7" l="1"/>
  <c r="G81" i="7"/>
  <c r="H68" i="7"/>
  <c r="Q67" i="7"/>
  <c r="O68" i="7"/>
  <c r="C124" i="7"/>
  <c r="K68" i="7"/>
  <c r="F69" i="7"/>
  <c r="F6" i="7"/>
  <c r="H109" i="2"/>
  <c r="H110" i="2" s="1"/>
  <c r="H54" i="2"/>
  <c r="H101" i="2"/>
  <c r="H104" i="2" s="1"/>
  <c r="H106" i="2" s="1"/>
  <c r="H31" i="2"/>
  <c r="H38" i="2" s="1"/>
  <c r="I263" i="1"/>
  <c r="I266" i="1" s="1"/>
  <c r="K67" i="7"/>
  <c r="I14" i="2"/>
  <c r="I68" i="2"/>
  <c r="I268" i="1" l="1"/>
  <c r="I267" i="1"/>
  <c r="I155" i="7"/>
  <c r="C137" i="7"/>
  <c r="H138" i="7" s="1"/>
  <c r="H124" i="7"/>
  <c r="E124" i="7"/>
  <c r="H69" i="7"/>
  <c r="F8" i="7"/>
  <c r="F9" i="7" s="1"/>
  <c r="Q68" i="7"/>
  <c r="H56" i="2"/>
  <c r="X15" i="13"/>
  <c r="P81" i="7"/>
  <c r="G82" i="7"/>
  <c r="I132" i="2"/>
  <c r="I16" i="2"/>
  <c r="H112" i="2"/>
  <c r="F70" i="7"/>
  <c r="O69" i="7"/>
  <c r="K69" i="7"/>
  <c r="I156" i="7" l="1"/>
  <c r="O155" i="7"/>
  <c r="O70" i="7"/>
  <c r="K70" i="7"/>
  <c r="F71" i="7"/>
  <c r="H70" i="7"/>
  <c r="Q69" i="7"/>
  <c r="I66" i="2"/>
  <c r="I69" i="2" s="1"/>
  <c r="I49" i="2"/>
  <c r="I146" i="2"/>
  <c r="I149" i="2" s="1"/>
  <c r="I150" i="2" s="1"/>
  <c r="I133" i="2"/>
  <c r="P82" i="7"/>
  <c r="G83" i="7"/>
  <c r="E137" i="7"/>
  <c r="J138" i="7" s="1"/>
  <c r="H152" i="7"/>
  <c r="C7" i="4"/>
  <c r="I124" i="7"/>
  <c r="I67" i="2"/>
  <c r="I278" i="1"/>
  <c r="I53" i="3" s="1"/>
  <c r="I58" i="3" s="1"/>
  <c r="I72" i="3" s="1"/>
  <c r="I73" i="3" s="1"/>
  <c r="I74" i="3" l="1"/>
  <c r="D7" i="4"/>
  <c r="F7" i="4"/>
  <c r="C12" i="4"/>
  <c r="C17" i="4" s="1"/>
  <c r="I152" i="2"/>
  <c r="I44" i="2" s="1"/>
  <c r="I45" i="2" s="1"/>
  <c r="I47" i="2" s="1"/>
  <c r="I17" i="2"/>
  <c r="I18" i="2" s="1"/>
  <c r="J151" i="2"/>
  <c r="J30" i="2" s="1"/>
  <c r="H71" i="7"/>
  <c r="Q70" i="7"/>
  <c r="J134" i="2"/>
  <c r="I135" i="2"/>
  <c r="I136" i="2" s="1"/>
  <c r="I157" i="2"/>
  <c r="P83" i="7"/>
  <c r="G84" i="7"/>
  <c r="H155" i="7"/>
  <c r="C10" i="4"/>
  <c r="D10" i="4" s="1"/>
  <c r="E10" i="4" s="1"/>
  <c r="N152" i="7"/>
  <c r="K152" i="7"/>
  <c r="C155" i="7"/>
  <c r="I156" i="2"/>
  <c r="F72" i="7"/>
  <c r="O71" i="7"/>
  <c r="O156" i="7"/>
  <c r="I157" i="7"/>
  <c r="O157" i="7" s="1"/>
  <c r="P84" i="7" l="1"/>
  <c r="G85" i="7"/>
  <c r="J102" i="2"/>
  <c r="J158" i="2"/>
  <c r="I153" i="2"/>
  <c r="I75" i="2" s="1"/>
  <c r="I76" i="2" s="1"/>
  <c r="I78" i="2" s="1"/>
  <c r="I80" i="2" s="1"/>
  <c r="N155" i="7"/>
  <c r="H156" i="7"/>
  <c r="K155" i="7"/>
  <c r="C158" i="7"/>
  <c r="D158" i="7" s="1"/>
  <c r="E158" i="7" s="1"/>
  <c r="I103" i="2"/>
  <c r="I159" i="2"/>
  <c r="H72" i="7"/>
  <c r="Q71" i="7"/>
  <c r="K71" i="7"/>
  <c r="O72" i="7"/>
  <c r="K72" i="7"/>
  <c r="F73" i="7"/>
  <c r="D155" i="7"/>
  <c r="C160" i="7"/>
  <c r="C164" i="7" s="1"/>
  <c r="I30" i="14"/>
  <c r="I20" i="14"/>
  <c r="I51" i="2"/>
  <c r="D12" i="4"/>
  <c r="E7" i="4"/>
  <c r="E12" i="4" s="1"/>
  <c r="E17" i="4" s="1"/>
  <c r="N31" i="14" l="1"/>
  <c r="J31" i="14"/>
  <c r="F31" i="14"/>
  <c r="M31" i="14"/>
  <c r="H31" i="14"/>
  <c r="L31" i="14"/>
  <c r="G31" i="14"/>
  <c r="K31" i="14"/>
  <c r="I31" i="14"/>
  <c r="E31" i="14"/>
  <c r="D17" i="4"/>
  <c r="D60" i="3"/>
  <c r="D58" i="2"/>
  <c r="E58" i="2"/>
  <c r="F58" i="2"/>
  <c r="G58" i="2"/>
  <c r="H58" i="2"/>
  <c r="J50" i="2"/>
  <c r="I52" i="2"/>
  <c r="P85" i="7"/>
  <c r="G86" i="7"/>
  <c r="J79" i="2"/>
  <c r="I27" i="2"/>
  <c r="J81" i="2"/>
  <c r="D160" i="7"/>
  <c r="D164" i="7" s="1"/>
  <c r="E155" i="7"/>
  <c r="E160" i="7" s="1"/>
  <c r="E164" i="7" s="1"/>
  <c r="H73" i="7"/>
  <c r="Q72" i="7"/>
  <c r="F74" i="7"/>
  <c r="O73" i="7"/>
  <c r="K73" i="7"/>
  <c r="N156" i="7"/>
  <c r="K156" i="7"/>
  <c r="K157" i="7" s="1"/>
  <c r="H157" i="7"/>
  <c r="N157" i="7" s="1"/>
  <c r="I160" i="2"/>
  <c r="I109" i="2" l="1"/>
  <c r="I110" i="2" s="1"/>
  <c r="I54" i="2"/>
  <c r="K29" i="14"/>
  <c r="G29" i="14"/>
  <c r="M29" i="14"/>
  <c r="H29" i="14"/>
  <c r="L29" i="14"/>
  <c r="F29" i="14"/>
  <c r="J29" i="14"/>
  <c r="I29" i="14"/>
  <c r="E29" i="14"/>
  <c r="N29" i="14"/>
  <c r="D7" i="5"/>
  <c r="D23" i="3"/>
  <c r="J68" i="2"/>
  <c r="J14" i="2"/>
  <c r="G77" i="3"/>
  <c r="F77" i="3"/>
  <c r="E77" i="3"/>
  <c r="D77" i="3"/>
  <c r="D78" i="3" s="1"/>
  <c r="I77" i="3"/>
  <c r="H77" i="3"/>
  <c r="H74" i="7"/>
  <c r="Q73" i="7"/>
  <c r="I101" i="2"/>
  <c r="I104" i="2" s="1"/>
  <c r="I106" i="2" s="1"/>
  <c r="I112" i="2" s="1"/>
  <c r="I31" i="2"/>
  <c r="I38" i="2" s="1"/>
  <c r="J263" i="1"/>
  <c r="J266" i="1" s="1"/>
  <c r="O74" i="7"/>
  <c r="F75" i="7"/>
  <c r="P86" i="7"/>
  <c r="G87" i="7"/>
  <c r="P87" i="7" l="1"/>
  <c r="G88" i="7"/>
  <c r="H75" i="7"/>
  <c r="Q74" i="7"/>
  <c r="E78" i="3"/>
  <c r="I56" i="2"/>
  <c r="I58" i="2"/>
  <c r="Y15" i="13"/>
  <c r="D82" i="3"/>
  <c r="L40" i="3"/>
  <c r="H40" i="3"/>
  <c r="J40" i="3"/>
  <c r="E40" i="3"/>
  <c r="D25" i="3"/>
  <c r="N40" i="3"/>
  <c r="I40" i="3"/>
  <c r="D40" i="3"/>
  <c r="D41" i="3" s="1"/>
  <c r="D109" i="3"/>
  <c r="M40" i="3"/>
  <c r="K40" i="3"/>
  <c r="D30" i="3"/>
  <c r="G40" i="3"/>
  <c r="F40" i="3"/>
  <c r="J268" i="1"/>
  <c r="J267" i="1"/>
  <c r="F76" i="7"/>
  <c r="O75" i="7"/>
  <c r="K74" i="7"/>
  <c r="J132" i="2"/>
  <c r="J16" i="2"/>
  <c r="D98" i="5"/>
  <c r="D24" i="5"/>
  <c r="D23" i="5" s="1"/>
  <c r="D54" i="5"/>
  <c r="D28" i="5"/>
  <c r="D33" i="5"/>
  <c r="E33" i="5" s="1"/>
  <c r="E30" i="5"/>
  <c r="D29" i="5"/>
  <c r="E29" i="5" s="1"/>
  <c r="E31" i="5"/>
  <c r="D31" i="5"/>
  <c r="E28" i="5"/>
  <c r="D30" i="5"/>
  <c r="E43" i="5"/>
  <c r="E45" i="5" s="1"/>
  <c r="E125" i="5" s="1"/>
  <c r="F43" i="5"/>
  <c r="F45" i="5" s="1"/>
  <c r="F125" i="5" s="1"/>
  <c r="G43" i="5"/>
  <c r="G45" i="5" s="1"/>
  <c r="G125" i="5" s="1"/>
  <c r="H43" i="5"/>
  <c r="H45" i="5" s="1"/>
  <c r="H125" i="5" s="1"/>
  <c r="I43" i="5"/>
  <c r="I45" i="5" s="1"/>
  <c r="I125" i="5" s="1"/>
  <c r="J43" i="5"/>
  <c r="J45" i="5" s="1"/>
  <c r="J125" i="5" s="1"/>
  <c r="K43" i="5"/>
  <c r="K45" i="5" s="1"/>
  <c r="K125" i="5" s="1"/>
  <c r="L43" i="5"/>
  <c r="L45" i="5" s="1"/>
  <c r="L125" i="5" s="1"/>
  <c r="M43" i="5"/>
  <c r="M45" i="5" s="1"/>
  <c r="M125" i="5" s="1"/>
  <c r="N43" i="5"/>
  <c r="N45" i="5" s="1"/>
  <c r="N125" i="5" s="1"/>
  <c r="N37" i="5" l="1"/>
  <c r="J37" i="5"/>
  <c r="F37" i="5"/>
  <c r="K34" i="5"/>
  <c r="M37" i="5"/>
  <c r="I37" i="5"/>
  <c r="E37" i="5"/>
  <c r="G37" i="5"/>
  <c r="L37" i="5"/>
  <c r="K37" i="5"/>
  <c r="H37" i="5"/>
  <c r="J146" i="2"/>
  <c r="J149" i="2" s="1"/>
  <c r="J150" i="2" s="1"/>
  <c r="F127" i="5"/>
  <c r="D79" i="5"/>
  <c r="D78" i="5"/>
  <c r="E78" i="5" s="1"/>
  <c r="D77" i="5"/>
  <c r="D76" i="5"/>
  <c r="D75" i="5"/>
  <c r="D74" i="5"/>
  <c r="D80" i="5" s="1"/>
  <c r="E76" i="5"/>
  <c r="D71" i="5"/>
  <c r="D70" i="5" s="1"/>
  <c r="D32" i="5"/>
  <c r="E32" i="5" s="1"/>
  <c r="D99" i="5"/>
  <c r="E77" i="5"/>
  <c r="E79" i="5"/>
  <c r="E75" i="5"/>
  <c r="D46" i="5"/>
  <c r="D34" i="5"/>
  <c r="E34" i="5" s="1"/>
  <c r="E86" i="5"/>
  <c r="E88" i="5" s="1"/>
  <c r="E126" i="5" s="1"/>
  <c r="F86" i="5"/>
  <c r="F88" i="5" s="1"/>
  <c r="F126" i="5" s="1"/>
  <c r="G86" i="5"/>
  <c r="G88" i="5" s="1"/>
  <c r="G126" i="5" s="1"/>
  <c r="G127" i="5" s="1"/>
  <c r="H86" i="5"/>
  <c r="H88" i="5" s="1"/>
  <c r="H126" i="5" s="1"/>
  <c r="I86" i="5"/>
  <c r="I88" i="5" s="1"/>
  <c r="I126" i="5" s="1"/>
  <c r="J86" i="5"/>
  <c r="J88" i="5" s="1"/>
  <c r="J126" i="5" s="1"/>
  <c r="J127" i="5" s="1"/>
  <c r="K86" i="5"/>
  <c r="K88" i="5" s="1"/>
  <c r="K126" i="5" s="1"/>
  <c r="K127" i="5" s="1"/>
  <c r="L86" i="5"/>
  <c r="L88" i="5" s="1"/>
  <c r="L126" i="5" s="1"/>
  <c r="M86" i="5"/>
  <c r="M88" i="5" s="1"/>
  <c r="M126" i="5" s="1"/>
  <c r="N86" i="5"/>
  <c r="N88" i="5" s="1"/>
  <c r="N126" i="5" s="1"/>
  <c r="N127" i="5" s="1"/>
  <c r="J133" i="2"/>
  <c r="O76" i="7"/>
  <c r="K76" i="7"/>
  <c r="F77" i="7"/>
  <c r="D105" i="3"/>
  <c r="D111" i="3" s="1"/>
  <c r="I6" i="4" s="1"/>
  <c r="D107" i="3"/>
  <c r="F107" i="3"/>
  <c r="G105" i="3"/>
  <c r="F105" i="3"/>
  <c r="E105" i="3"/>
  <c r="G107" i="3"/>
  <c r="E107" i="3"/>
  <c r="H105" i="3"/>
  <c r="H107" i="3"/>
  <c r="I107" i="3"/>
  <c r="I105" i="3"/>
  <c r="J105" i="3"/>
  <c r="J107" i="3"/>
  <c r="K105" i="3"/>
  <c r="K107" i="3"/>
  <c r="L105" i="3"/>
  <c r="L107" i="3"/>
  <c r="N105" i="3"/>
  <c r="M105" i="3"/>
  <c r="M107" i="3"/>
  <c r="N107" i="3"/>
  <c r="D28" i="3"/>
  <c r="D27" i="3"/>
  <c r="G6" i="4" s="1"/>
  <c r="H76" i="7"/>
  <c r="Q75" i="7"/>
  <c r="M127" i="5"/>
  <c r="I127" i="5"/>
  <c r="E127" i="5"/>
  <c r="E41" i="3"/>
  <c r="F78" i="3"/>
  <c r="F79" i="3"/>
  <c r="P88" i="7"/>
  <c r="D126" i="7"/>
  <c r="G89" i="7"/>
  <c r="J66" i="2"/>
  <c r="J49" i="2"/>
  <c r="L127" i="5"/>
  <c r="H127" i="5"/>
  <c r="L113" i="5"/>
  <c r="H113" i="5"/>
  <c r="D113" i="5"/>
  <c r="D114" i="5" s="1"/>
  <c r="K113" i="5"/>
  <c r="G113" i="5"/>
  <c r="I113" i="5"/>
  <c r="N113" i="5"/>
  <c r="F113" i="5"/>
  <c r="J113" i="5"/>
  <c r="D103" i="5"/>
  <c r="E113" i="5"/>
  <c r="M113" i="5"/>
  <c r="E120" i="5"/>
  <c r="E122" i="5" s="1"/>
  <c r="D123" i="5" s="1"/>
  <c r="F120" i="5"/>
  <c r="F122" i="5" s="1"/>
  <c r="G120" i="5"/>
  <c r="G122" i="5" s="1"/>
  <c r="H120" i="5"/>
  <c r="H122" i="5" s="1"/>
  <c r="I120" i="5"/>
  <c r="I122" i="5" s="1"/>
  <c r="J120" i="5"/>
  <c r="J122" i="5" s="1"/>
  <c r="K120" i="5"/>
  <c r="K122" i="5" s="1"/>
  <c r="L120" i="5"/>
  <c r="L122" i="5" s="1"/>
  <c r="M120" i="5"/>
  <c r="M122" i="5" s="1"/>
  <c r="N120" i="5"/>
  <c r="N122" i="5" s="1"/>
  <c r="K75" i="7"/>
  <c r="J67" i="2"/>
  <c r="J278" i="1"/>
  <c r="J53" i="3" s="1"/>
  <c r="J58" i="3" s="1"/>
  <c r="E79" i="3"/>
  <c r="N82" i="5" l="1"/>
  <c r="J82" i="5"/>
  <c r="F82" i="5"/>
  <c r="M82" i="5"/>
  <c r="I82" i="5"/>
  <c r="E82" i="5"/>
  <c r="K82" i="5"/>
  <c r="H82" i="5"/>
  <c r="F70" i="5"/>
  <c r="G82" i="5"/>
  <c r="E55" i="5"/>
  <c r="F55" i="5" s="1"/>
  <c r="G55" i="5" s="1"/>
  <c r="H55" i="5" s="1"/>
  <c r="I55" i="5" s="1"/>
  <c r="J55" i="5" s="1"/>
  <c r="K55" i="5" s="1"/>
  <c r="L55" i="5" s="1"/>
  <c r="M55" i="5" s="1"/>
  <c r="N55" i="5" s="1"/>
  <c r="L82" i="5"/>
  <c r="D128" i="5"/>
  <c r="J72" i="3"/>
  <c r="D139" i="7"/>
  <c r="I136" i="7" s="1"/>
  <c r="F78" i="7"/>
  <c r="O77" i="7"/>
  <c r="K77" i="7"/>
  <c r="K151" i="2"/>
  <c r="K30" i="2" s="1"/>
  <c r="J152" i="2"/>
  <c r="J44" i="2" s="1"/>
  <c r="J45" i="2" s="1"/>
  <c r="J47" i="2" s="1"/>
  <c r="J153" i="2"/>
  <c r="J75" i="2" s="1"/>
  <c r="J76" i="2" s="1"/>
  <c r="J17" i="2"/>
  <c r="J18" i="2" s="1"/>
  <c r="D38" i="5"/>
  <c r="J69" i="2"/>
  <c r="H77" i="7"/>
  <c r="Q76" i="7"/>
  <c r="E74" i="5"/>
  <c r="D89" i="5"/>
  <c r="F42" i="3"/>
  <c r="F41" i="3"/>
  <c r="K134" i="2"/>
  <c r="J135" i="2"/>
  <c r="J136" i="2"/>
  <c r="J160" i="2" s="1"/>
  <c r="J157" i="2"/>
  <c r="E35" i="5"/>
  <c r="F32" i="5" s="1"/>
  <c r="E42" i="3"/>
  <c r="E114" i="5"/>
  <c r="E115" i="5"/>
  <c r="P89" i="7"/>
  <c r="G90" i="7"/>
  <c r="G78" i="3"/>
  <c r="G79" i="3"/>
  <c r="I7" i="4"/>
  <c r="J156" i="2"/>
  <c r="D101" i="5"/>
  <c r="D106" i="5"/>
  <c r="D35" i="5"/>
  <c r="D83" i="5" l="1"/>
  <c r="F114" i="5"/>
  <c r="G91" i="7"/>
  <c r="P90" i="7"/>
  <c r="K102" i="2"/>
  <c r="K158" i="2"/>
  <c r="H78" i="7"/>
  <c r="Q77" i="7"/>
  <c r="E80" i="5"/>
  <c r="F74" i="5"/>
  <c r="J20" i="14"/>
  <c r="J30" i="14"/>
  <c r="J51" i="2"/>
  <c r="J73" i="3"/>
  <c r="J77" i="3"/>
  <c r="H78" i="3"/>
  <c r="F29" i="5"/>
  <c r="F30" i="5"/>
  <c r="F31" i="5"/>
  <c r="F28" i="5"/>
  <c r="F35" i="5" s="1"/>
  <c r="F33" i="5"/>
  <c r="J103" i="2"/>
  <c r="J159" i="2"/>
  <c r="F34" i="5"/>
  <c r="G41" i="3"/>
  <c r="J78" i="2"/>
  <c r="J80" i="2" s="1"/>
  <c r="C125" i="7"/>
  <c r="O78" i="7"/>
  <c r="K78" i="7"/>
  <c r="F79" i="7"/>
  <c r="I78" i="3" l="1"/>
  <c r="I79" i="3"/>
  <c r="K50" i="2"/>
  <c r="J52" i="2"/>
  <c r="G114" i="5"/>
  <c r="F80" i="7"/>
  <c r="O79" i="7"/>
  <c r="H79" i="7"/>
  <c r="E125" i="7"/>
  <c r="I125" i="7" s="1"/>
  <c r="Q78" i="7"/>
  <c r="P91" i="7"/>
  <c r="G92" i="7"/>
  <c r="C138" i="7"/>
  <c r="H137" i="7" s="1"/>
  <c r="H125" i="7"/>
  <c r="K79" i="2"/>
  <c r="K81" i="2"/>
  <c r="J27" i="2"/>
  <c r="H79" i="3"/>
  <c r="F78" i="5"/>
  <c r="F77" i="5"/>
  <c r="F79" i="5"/>
  <c r="F75" i="5"/>
  <c r="F80" i="5" s="1"/>
  <c r="F76" i="5"/>
  <c r="H41" i="3"/>
  <c r="H42" i="3"/>
  <c r="G42" i="3"/>
  <c r="J74" i="3"/>
  <c r="F115" i="5"/>
  <c r="J109" i="2" l="1"/>
  <c r="J110" i="2" s="1"/>
  <c r="J54" i="2"/>
  <c r="O80" i="7"/>
  <c r="F81" i="7"/>
  <c r="H80" i="7"/>
  <c r="Q79" i="7"/>
  <c r="J101" i="2"/>
  <c r="J104" i="2" s="1"/>
  <c r="J106" i="2" s="1"/>
  <c r="J112" i="2" s="1"/>
  <c r="K263" i="1"/>
  <c r="K266" i="1" s="1"/>
  <c r="J31" i="2"/>
  <c r="J38" i="2" s="1"/>
  <c r="E138" i="7"/>
  <c r="J137" i="7" s="1"/>
  <c r="I41" i="3"/>
  <c r="I42" i="3" s="1"/>
  <c r="K68" i="2"/>
  <c r="K14" i="2"/>
  <c r="P92" i="7"/>
  <c r="G93" i="7"/>
  <c r="H115" i="5"/>
  <c r="H114" i="5"/>
  <c r="K79" i="7"/>
  <c r="G115" i="5"/>
  <c r="J78" i="3"/>
  <c r="K267" i="1" l="1"/>
  <c r="K268" i="1"/>
  <c r="H81" i="7"/>
  <c r="Q80" i="7"/>
  <c r="P93" i="7"/>
  <c r="G94" i="7"/>
  <c r="F82" i="7"/>
  <c r="O81" i="7"/>
  <c r="K80" i="7"/>
  <c r="J41" i="3"/>
  <c r="J42" i="3" s="1"/>
  <c r="J79" i="3"/>
  <c r="I114" i="5"/>
  <c r="K132" i="2"/>
  <c r="K16" i="2"/>
  <c r="J56" i="2"/>
  <c r="J58" i="2"/>
  <c r="Z15" i="13"/>
  <c r="O82" i="7" l="1"/>
  <c r="F83" i="7"/>
  <c r="G95" i="7"/>
  <c r="P94" i="7"/>
  <c r="K278" i="1"/>
  <c r="K53" i="3" s="1"/>
  <c r="K58" i="3" s="1"/>
  <c r="K67" i="2"/>
  <c r="K133" i="2"/>
  <c r="K41" i="3"/>
  <c r="J114" i="5"/>
  <c r="H82" i="7"/>
  <c r="K82" i="7" s="1"/>
  <c r="Q81" i="7"/>
  <c r="I115" i="5"/>
  <c r="K146" i="2"/>
  <c r="K149" i="2" s="1"/>
  <c r="K150" i="2" s="1"/>
  <c r="K81" i="7"/>
  <c r="K66" i="2"/>
  <c r="K69" i="2" s="1"/>
  <c r="K49" i="2"/>
  <c r="L41" i="3" l="1"/>
  <c r="L42" i="3"/>
  <c r="K72" i="3"/>
  <c r="K114" i="5"/>
  <c r="K115" i="5" s="1"/>
  <c r="L134" i="2"/>
  <c r="K135" i="2"/>
  <c r="K136" i="2"/>
  <c r="K157" i="2"/>
  <c r="P95" i="7"/>
  <c r="G96" i="7"/>
  <c r="F84" i="7"/>
  <c r="O83" i="7"/>
  <c r="H83" i="7"/>
  <c r="Q82" i="7"/>
  <c r="K42" i="3"/>
  <c r="L151" i="2"/>
  <c r="L30" i="2" s="1"/>
  <c r="K153" i="2"/>
  <c r="K75" i="2" s="1"/>
  <c r="K76" i="2" s="1"/>
  <c r="K78" i="2" s="1"/>
  <c r="K80" i="2" s="1"/>
  <c r="K152" i="2"/>
  <c r="K44" i="2" s="1"/>
  <c r="K45" i="2" s="1"/>
  <c r="K47" i="2" s="1"/>
  <c r="K17" i="2"/>
  <c r="K18" i="2" s="1"/>
  <c r="J115" i="5"/>
  <c r="K156" i="2"/>
  <c r="L81" i="2" l="1"/>
  <c r="K27" i="2"/>
  <c r="L79" i="2"/>
  <c r="K160" i="2"/>
  <c r="K30" i="14"/>
  <c r="K20" i="14"/>
  <c r="K51" i="2"/>
  <c r="H84" i="7"/>
  <c r="Q83" i="7"/>
  <c r="G97" i="7"/>
  <c r="P96" i="7"/>
  <c r="K103" i="2"/>
  <c r="K159" i="2"/>
  <c r="M41" i="3"/>
  <c r="L114" i="5"/>
  <c r="K77" i="3"/>
  <c r="K78" i="3" s="1"/>
  <c r="K73" i="3"/>
  <c r="O84" i="7"/>
  <c r="K84" i="7"/>
  <c r="F85" i="7"/>
  <c r="K83" i="7"/>
  <c r="L102" i="2"/>
  <c r="L158" i="2"/>
  <c r="N41" i="3" l="1"/>
  <c r="N42" i="3" s="1"/>
  <c r="D32" i="3" s="1"/>
  <c r="K79" i="3"/>
  <c r="P97" i="7"/>
  <c r="G98" i="7"/>
  <c r="K31" i="2"/>
  <c r="K38" i="2" s="1"/>
  <c r="K101" i="2"/>
  <c r="K104" i="2" s="1"/>
  <c r="K106" i="2" s="1"/>
  <c r="L263" i="1"/>
  <c r="L266" i="1" s="1"/>
  <c r="K74" i="3"/>
  <c r="L50" i="2"/>
  <c r="K52" i="2"/>
  <c r="F86" i="7"/>
  <c r="O85" i="7"/>
  <c r="M42" i="3"/>
  <c r="M115" i="5"/>
  <c r="M114" i="5"/>
  <c r="L115" i="5"/>
  <c r="H85" i="7"/>
  <c r="Q84" i="7"/>
  <c r="L14" i="2"/>
  <c r="L68" i="2"/>
  <c r="AA15" i="13" l="1"/>
  <c r="K58" i="2"/>
  <c r="H86" i="7"/>
  <c r="Q85" i="7"/>
  <c r="K109" i="2"/>
  <c r="K110" i="2" s="1"/>
  <c r="K54" i="2"/>
  <c r="K56" i="2" s="1"/>
  <c r="K85" i="7"/>
  <c r="L267" i="1"/>
  <c r="L268" i="1"/>
  <c r="O86" i="7"/>
  <c r="F87" i="7"/>
  <c r="D127" i="7"/>
  <c r="G99" i="7"/>
  <c r="P99" i="7" s="1"/>
  <c r="P98" i="7"/>
  <c r="L132" i="2"/>
  <c r="L16" i="2"/>
  <c r="N115" i="5"/>
  <c r="D115" i="5" s="1"/>
  <c r="D105" i="5" s="1"/>
  <c r="N114" i="5"/>
  <c r="K112" i="2"/>
  <c r="H87" i="7" l="1"/>
  <c r="Q86" i="7"/>
  <c r="L146" i="2"/>
  <c r="L149" i="2" s="1"/>
  <c r="L150" i="2" s="1"/>
  <c r="L133" i="2"/>
  <c r="L156" i="2"/>
  <c r="D140" i="7"/>
  <c r="I135" i="7" s="1"/>
  <c r="D143" i="7"/>
  <c r="D145" i="7" s="1"/>
  <c r="D144" i="7"/>
  <c r="L278" i="1"/>
  <c r="L53" i="3" s="1"/>
  <c r="L58" i="3" s="1"/>
  <c r="L67" i="2"/>
  <c r="F88" i="7"/>
  <c r="O87" i="7"/>
  <c r="K87" i="7"/>
  <c r="L66" i="2"/>
  <c r="L69" i="2" s="1"/>
  <c r="L49" i="2"/>
  <c r="K86" i="7"/>
  <c r="C126" i="7" l="1"/>
  <c r="F89" i="7"/>
  <c r="O88" i="7"/>
  <c r="L152" i="2"/>
  <c r="L44" i="2" s="1"/>
  <c r="L45" i="2" s="1"/>
  <c r="L47" i="2" s="1"/>
  <c r="M151" i="2"/>
  <c r="M30" i="2" s="1"/>
  <c r="L17" i="2"/>
  <c r="L18" i="2" s="1"/>
  <c r="L72" i="3"/>
  <c r="L135" i="2"/>
  <c r="L136" i="2"/>
  <c r="M134" i="2"/>
  <c r="L157" i="2"/>
  <c r="H88" i="7"/>
  <c r="Q87" i="7"/>
  <c r="O89" i="7" l="1"/>
  <c r="F90" i="7"/>
  <c r="H126" i="7"/>
  <c r="C139" i="7"/>
  <c r="H136" i="7" s="1"/>
  <c r="I126" i="7"/>
  <c r="L30" i="14"/>
  <c r="L20" i="14"/>
  <c r="L51" i="2"/>
  <c r="L77" i="3"/>
  <c r="L78" i="3" s="1"/>
  <c r="L73" i="3"/>
  <c r="H89" i="7"/>
  <c r="E126" i="7"/>
  <c r="Q88" i="7"/>
  <c r="L103" i="2"/>
  <c r="L159" i="2"/>
  <c r="L153" i="2"/>
  <c r="L75" i="2" s="1"/>
  <c r="L76" i="2" s="1"/>
  <c r="L78" i="2" s="1"/>
  <c r="L80" i="2" s="1"/>
  <c r="K88" i="7"/>
  <c r="M102" i="2"/>
  <c r="M158" i="2"/>
  <c r="L74" i="3" l="1"/>
  <c r="L79" i="3"/>
  <c r="M81" i="2"/>
  <c r="M79" i="2"/>
  <c r="L27" i="2"/>
  <c r="F91" i="7"/>
  <c r="O90" i="7"/>
  <c r="K90" i="7"/>
  <c r="E139" i="7"/>
  <c r="J136" i="7" s="1"/>
  <c r="L160" i="2"/>
  <c r="H90" i="7"/>
  <c r="Q89" i="7"/>
  <c r="M50" i="2"/>
  <c r="L52" i="2"/>
  <c r="K89" i="7"/>
  <c r="L109" i="2" l="1"/>
  <c r="L110" i="2" s="1"/>
  <c r="L54" i="2"/>
  <c r="M68" i="2"/>
  <c r="M14" i="2"/>
  <c r="O91" i="7"/>
  <c r="K91" i="7"/>
  <c r="F92" i="7"/>
  <c r="Q90" i="7"/>
  <c r="H91" i="7"/>
  <c r="L31" i="2"/>
  <c r="L38" i="2" s="1"/>
  <c r="M263" i="1"/>
  <c r="M266" i="1" s="1"/>
  <c r="L101" i="2"/>
  <c r="L104" i="2" s="1"/>
  <c r="L106" i="2" s="1"/>
  <c r="L112" i="2" s="1"/>
  <c r="M268" i="1" l="1"/>
  <c r="M267" i="1"/>
  <c r="F93" i="7"/>
  <c r="O92" i="7"/>
  <c r="L56" i="2"/>
  <c r="L58" i="2"/>
  <c r="AB15" i="13"/>
  <c r="H92" i="7"/>
  <c r="Q91" i="7"/>
  <c r="M132" i="2"/>
  <c r="M16" i="2"/>
  <c r="M146" i="2" l="1"/>
  <c r="M149" i="2" s="1"/>
  <c r="M150" i="2" s="1"/>
  <c r="M133" i="2"/>
  <c r="M156" i="2"/>
  <c r="O93" i="7"/>
  <c r="F94" i="7"/>
  <c r="M66" i="2"/>
  <c r="M69" i="2" s="1"/>
  <c r="M49" i="2"/>
  <c r="H93" i="7"/>
  <c r="Q92" i="7"/>
  <c r="K92" i="7"/>
  <c r="M67" i="2"/>
  <c r="M278" i="1"/>
  <c r="M53" i="3" s="1"/>
  <c r="M58" i="3" s="1"/>
  <c r="F95" i="7" l="1"/>
  <c r="O94" i="7"/>
  <c r="M136" i="2"/>
  <c r="M135" i="2"/>
  <c r="N134" i="2"/>
  <c r="M157" i="2"/>
  <c r="H94" i="7"/>
  <c r="Q93" i="7"/>
  <c r="K93" i="7"/>
  <c r="M72" i="3"/>
  <c r="N151" i="2"/>
  <c r="N30" i="2" s="1"/>
  <c r="M152" i="2"/>
  <c r="M44" i="2" s="1"/>
  <c r="M45" i="2" s="1"/>
  <c r="M47" i="2" s="1"/>
  <c r="M17" i="2"/>
  <c r="M18" i="2" s="1"/>
  <c r="M30" i="14" l="1"/>
  <c r="M20" i="14"/>
  <c r="M51" i="2"/>
  <c r="M77" i="3"/>
  <c r="M78" i="3" s="1"/>
  <c r="M73" i="3"/>
  <c r="Q94" i="7"/>
  <c r="H95" i="7"/>
  <c r="N102" i="2"/>
  <c r="N158" i="2"/>
  <c r="K94" i="7"/>
  <c r="M153" i="2"/>
  <c r="M75" i="2" s="1"/>
  <c r="M76" i="2" s="1"/>
  <c r="M78" i="2" s="1"/>
  <c r="M80" i="2" s="1"/>
  <c r="M103" i="2"/>
  <c r="M159" i="2"/>
  <c r="O95" i="7"/>
  <c r="F96" i="7"/>
  <c r="N79" i="2" l="1"/>
  <c r="N81" i="2"/>
  <c r="M27" i="2"/>
  <c r="M74" i="3"/>
  <c r="F97" i="7"/>
  <c r="O96" i="7"/>
  <c r="H96" i="7"/>
  <c r="Q95" i="7"/>
  <c r="N50" i="2"/>
  <c r="M52" i="2"/>
  <c r="K95" i="7"/>
  <c r="M160" i="2"/>
  <c r="M79" i="3"/>
  <c r="M101" i="2" l="1"/>
  <c r="M104" i="2" s="1"/>
  <c r="M106" i="2" s="1"/>
  <c r="M31" i="2"/>
  <c r="M38" i="2" s="1"/>
  <c r="N263" i="1"/>
  <c r="N266" i="1" s="1"/>
  <c r="H97" i="7"/>
  <c r="Q96" i="7"/>
  <c r="N68" i="2"/>
  <c r="N14" i="2"/>
  <c r="O97" i="7"/>
  <c r="F98" i="7"/>
  <c r="M109" i="2"/>
  <c r="M110" i="2" s="1"/>
  <c r="M54" i="2"/>
  <c r="K96" i="7"/>
  <c r="H98" i="7" l="1"/>
  <c r="Q97" i="7"/>
  <c r="N132" i="2"/>
  <c r="N16" i="2"/>
  <c r="K97" i="7"/>
  <c r="M56" i="2"/>
  <c r="AC15" i="13"/>
  <c r="M58" i="2"/>
  <c r="N268" i="1"/>
  <c r="N267" i="1"/>
  <c r="F99" i="7"/>
  <c r="O98" i="7"/>
  <c r="C127" i="7"/>
  <c r="K98" i="7"/>
  <c r="M112" i="2"/>
  <c r="N146" i="2" l="1"/>
  <c r="N149" i="2" s="1"/>
  <c r="N150" i="2" s="1"/>
  <c r="O99" i="7"/>
  <c r="K99" i="7"/>
  <c r="N133" i="2"/>
  <c r="N156" i="2"/>
  <c r="N66" i="2"/>
  <c r="N69" i="2" s="1"/>
  <c r="N49" i="2"/>
  <c r="H127" i="7"/>
  <c r="C140" i="7"/>
  <c r="H135" i="7" s="1"/>
  <c r="C144" i="7"/>
  <c r="C143" i="7"/>
  <c r="N67" i="2"/>
  <c r="N278" i="1"/>
  <c r="N53" i="3" s="1"/>
  <c r="N58" i="3" s="1"/>
  <c r="E127" i="7"/>
  <c r="Q98" i="7"/>
  <c r="H99" i="7"/>
  <c r="Q99" i="7" s="1"/>
  <c r="E140" i="7" l="1"/>
  <c r="J135" i="7" s="1"/>
  <c r="E144" i="7"/>
  <c r="E143" i="7"/>
  <c r="E145" i="7" s="1"/>
  <c r="N72" i="3"/>
  <c r="D66" i="3"/>
  <c r="D67" i="3"/>
  <c r="D62" i="3"/>
  <c r="C145" i="7"/>
  <c r="I127" i="7"/>
  <c r="N136" i="2"/>
  <c r="N135" i="2"/>
  <c r="N157" i="2"/>
  <c r="N17" i="2"/>
  <c r="N18" i="2" s="1"/>
  <c r="N153" i="2"/>
  <c r="N75" i="2" s="1"/>
  <c r="N76" i="2" s="1"/>
  <c r="N78" i="2" s="1"/>
  <c r="N80" i="2" s="1"/>
  <c r="N27" i="2" s="1"/>
  <c r="N152" i="2"/>
  <c r="N44" i="2" s="1"/>
  <c r="N45" i="2" s="1"/>
  <c r="N47" i="2" s="1"/>
  <c r="N101" i="2" l="1"/>
  <c r="N31" i="2"/>
  <c r="N38" i="2" s="1"/>
  <c r="N77" i="3"/>
  <c r="N78" i="3" s="1"/>
  <c r="N79" i="3" s="1"/>
  <c r="D69" i="3" s="1"/>
  <c r="N73" i="3"/>
  <c r="N74" i="3" s="1"/>
  <c r="D68" i="3" s="1"/>
  <c r="N160" i="2"/>
  <c r="N20" i="14"/>
  <c r="N30" i="14"/>
  <c r="AD15" i="13"/>
  <c r="N51" i="2"/>
  <c r="N52" i="2" s="1"/>
  <c r="N109" i="2" s="1"/>
  <c r="N110" i="2" s="1"/>
  <c r="N54" i="2"/>
  <c r="N58" i="2"/>
  <c r="N103" i="2"/>
  <c r="N159" i="2"/>
  <c r="D64" i="3"/>
  <c r="H6" i="4" s="1"/>
  <c r="D65" i="3"/>
  <c r="G7" i="4" l="1"/>
  <c r="H7" i="4"/>
  <c r="N56" i="2"/>
  <c r="N104" i="2"/>
  <c r="N106" i="2" s="1"/>
  <c r="N1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33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Luis Fernando Mejia Robles:
</t>
        </r>
        <r>
          <rPr>
            <sz val="9"/>
            <color rgb="FF000000"/>
            <rFont val="Tahoma"/>
            <family val="2"/>
            <charset val="1"/>
          </rPr>
          <t xml:space="preserve">Si elige cero retira el ingreso si elige 1 lo incluye
</t>
        </r>
      </text>
    </comment>
    <comment ref="I34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Luis Fernando Mejia Robles:
</t>
        </r>
        <r>
          <rPr>
            <sz val="9"/>
            <color rgb="FF000000"/>
            <rFont val="Tahoma"/>
            <family val="2"/>
            <charset val="1"/>
          </rPr>
          <t>Se calcula como CAE/(1- Tasas de impuestos) no puede ser formulado o pues crea una referencia circular</t>
        </r>
      </text>
    </comment>
    <comment ref="D137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Luis Fernando Mejia Robles:
</t>
        </r>
        <r>
          <rPr>
            <sz val="9"/>
            <color rgb="FF000000"/>
            <rFont val="Tahoma"/>
            <family val="2"/>
            <charset val="1"/>
          </rPr>
          <t>Se calcula como CAE/(1- Tasas de impuestos) no puede ser formulado o pues crea una referencia circular</t>
        </r>
      </text>
    </comment>
  </commentList>
</comments>
</file>

<file path=xl/sharedStrings.xml><?xml version="1.0" encoding="utf-8"?>
<sst xmlns="http://schemas.openxmlformats.org/spreadsheetml/2006/main" count="938" uniqueCount="691">
  <si>
    <t xml:space="preserve">Valores Datos de Ingresos </t>
  </si>
  <si>
    <t>Miles de pesos</t>
  </si>
  <si>
    <t>Valores de Informes</t>
  </si>
  <si>
    <t>Factor de Moneda</t>
  </si>
  <si>
    <t>Datos del proyecto</t>
  </si>
  <si>
    <t>Macroeconómicos</t>
  </si>
  <si>
    <t>Costo KWh</t>
  </si>
  <si>
    <t>Incremento del precio de la energía</t>
  </si>
  <si>
    <t>Escenario del Cliente</t>
  </si>
  <si>
    <t>Ingresos</t>
  </si>
  <si>
    <t>Ingresos 1</t>
  </si>
  <si>
    <t>Ingresos 2</t>
  </si>
  <si>
    <t>Ingresos 3</t>
  </si>
  <si>
    <t>Costo de las Ventas</t>
  </si>
  <si>
    <t>Energía eléctrica</t>
  </si>
  <si>
    <t>Mantenimiento</t>
  </si>
  <si>
    <t>Costo 3</t>
  </si>
  <si>
    <t>Costo 4</t>
  </si>
  <si>
    <t>Costo 5</t>
  </si>
  <si>
    <t>Costo 6</t>
  </si>
  <si>
    <t>Costo 7</t>
  </si>
  <si>
    <t>Costo 8</t>
  </si>
  <si>
    <t>Costo 9</t>
  </si>
  <si>
    <t>Costo 10</t>
  </si>
  <si>
    <t>Gastos de Administración y Ventas</t>
  </si>
  <si>
    <t>Gastos administrativos</t>
  </si>
  <si>
    <t>Seguros</t>
  </si>
  <si>
    <t>Ruta de fugas</t>
  </si>
  <si>
    <t>Telefonía MDEX</t>
  </si>
  <si>
    <t>Plan de telefonía personal</t>
  </si>
  <si>
    <t>Inversiones</t>
  </si>
  <si>
    <t>Vida Útil</t>
  </si>
  <si>
    <t>Compresores</t>
  </si>
  <si>
    <t>Secadores</t>
  </si>
  <si>
    <t>Red de aire</t>
  </si>
  <si>
    <t>Inversión 4</t>
  </si>
  <si>
    <t>Inversión 5</t>
  </si>
  <si>
    <t>Depreciación</t>
  </si>
  <si>
    <t>Total Depreciación</t>
  </si>
  <si>
    <t>Depreciación Acumulada</t>
  </si>
  <si>
    <t>Inversión Bruta</t>
  </si>
  <si>
    <t>Escenario del Proveedor</t>
  </si>
  <si>
    <t>Ingresos de operación</t>
  </si>
  <si>
    <t>ERI</t>
  </si>
  <si>
    <t>Rotación de cuenta por cobrar</t>
  </si>
  <si>
    <t>ESF</t>
  </si>
  <si>
    <t>Cuenta por cobrar</t>
  </si>
  <si>
    <t>EFE</t>
  </si>
  <si>
    <t>Recaudo en ventas</t>
  </si>
  <si>
    <t>Porcentaje de recaudo</t>
  </si>
  <si>
    <t>Mano de obra</t>
  </si>
  <si>
    <t>Dotación</t>
  </si>
  <si>
    <t>Combustible</t>
  </si>
  <si>
    <t>Alquiler de vehículos</t>
  </si>
  <si>
    <t>Rotación de cuenta por pagar (Costo)</t>
  </si>
  <si>
    <t>Rotación de inventario de insumos</t>
  </si>
  <si>
    <t>Inventario de insumos</t>
  </si>
  <si>
    <t>Compras</t>
  </si>
  <si>
    <t>Cuenta por pagar (Costo)</t>
  </si>
  <si>
    <t>Obligaciones con empleados</t>
  </si>
  <si>
    <t>Pago de costos</t>
  </si>
  <si>
    <t>Porcentaje de pago de costos</t>
  </si>
  <si>
    <t>Rotación de cuenta por pagar (Gasto)</t>
  </si>
  <si>
    <t>Rotación de obligaciones con empleados</t>
  </si>
  <si>
    <t>Cuenta por pagar del gasto</t>
  </si>
  <si>
    <t>Obligaciones con los empleados</t>
  </si>
  <si>
    <t>Pago de gasto</t>
  </si>
  <si>
    <t>Porcentaje de pago de gasto</t>
  </si>
  <si>
    <t>Compresores, secadores y filtros</t>
  </si>
  <si>
    <t>Tanque</t>
  </si>
  <si>
    <t>Red de aire, ductos, AQUAMAT y montaje</t>
  </si>
  <si>
    <t>Controladores</t>
  </si>
  <si>
    <t>Equipo de comunicación y cómputo</t>
  </si>
  <si>
    <t>Financiación</t>
  </si>
  <si>
    <t>Caja inicial</t>
  </si>
  <si>
    <t>Inversión del periodo</t>
  </si>
  <si>
    <t>Seguro preoperativo</t>
  </si>
  <si>
    <t>Requerimiento de fondos</t>
  </si>
  <si>
    <t>ESF, EFE</t>
  </si>
  <si>
    <t>Capitalización</t>
  </si>
  <si>
    <t>Desembolso de crédito</t>
  </si>
  <si>
    <t>Política de financiación</t>
  </si>
  <si>
    <t>Capital</t>
  </si>
  <si>
    <t>Deuda</t>
  </si>
  <si>
    <t>Resumen de la deuda</t>
  </si>
  <si>
    <t>Saldo</t>
  </si>
  <si>
    <t>Amortización del crédito</t>
  </si>
  <si>
    <t>Intereses</t>
  </si>
  <si>
    <t>Servicio de la deuda</t>
  </si>
  <si>
    <t>Año de desembolso</t>
  </si>
  <si>
    <t>Monto del crédito</t>
  </si>
  <si>
    <t>Periodo de gracia</t>
  </si>
  <si>
    <t>Número de cuotas</t>
  </si>
  <si>
    <t>Plazo</t>
  </si>
  <si>
    <t>Desembolso</t>
  </si>
  <si>
    <t>Costo del crédito</t>
  </si>
  <si>
    <t>|</t>
  </si>
  <si>
    <t>Estado de Resultados Integral</t>
  </si>
  <si>
    <t>Costo de las ventas</t>
  </si>
  <si>
    <t>Depreciación y Amortización</t>
  </si>
  <si>
    <t>Resultado Bruto</t>
  </si>
  <si>
    <t>Gastos de Admón y Ventas</t>
  </si>
  <si>
    <t>Resultado de Operación</t>
  </si>
  <si>
    <t>Ingresos Financieros</t>
  </si>
  <si>
    <t>Gastos Financieros</t>
  </si>
  <si>
    <t>Resultado Antes de Impuestos</t>
  </si>
  <si>
    <t>Provisión de Impuestos</t>
  </si>
  <si>
    <t>Resultado del Periodo</t>
  </si>
  <si>
    <t>EBITDA</t>
  </si>
  <si>
    <t>Estado de Situación Financiera</t>
  </si>
  <si>
    <t>Efectivo</t>
  </si>
  <si>
    <t>Cuentas por Cobrar</t>
  </si>
  <si>
    <t>Inventario</t>
  </si>
  <si>
    <t>Anticipo de Impuestos</t>
  </si>
  <si>
    <t>Activo Corriente</t>
  </si>
  <si>
    <t>Propiedad Planta y Equipo bruta</t>
  </si>
  <si>
    <t>Intangibles</t>
  </si>
  <si>
    <t>Propiedad Planta y Equipo neta</t>
  </si>
  <si>
    <t>Activos</t>
  </si>
  <si>
    <t>Obligaciones Financieras</t>
  </si>
  <si>
    <t>Cuentas por Pagar (Costo)</t>
  </si>
  <si>
    <t>Cuentas por Pagar (Gasto)</t>
  </si>
  <si>
    <t>Beneficios de Empleados</t>
  </si>
  <si>
    <t>Impuestos por Pagar</t>
  </si>
  <si>
    <t>Pasivos Corrientes</t>
  </si>
  <si>
    <t>Pasivos</t>
  </si>
  <si>
    <t>Resultado de Periodos Anteriores</t>
  </si>
  <si>
    <t>Patrimonio</t>
  </si>
  <si>
    <t>Pasivo y Patrimonio</t>
  </si>
  <si>
    <t>Control de Cierre</t>
  </si>
  <si>
    <t>WACC</t>
  </si>
  <si>
    <t>Estado de Flujo de Efectivo</t>
  </si>
  <si>
    <t>Aportes de Capital</t>
  </si>
  <si>
    <t>Desembolso de Crédito</t>
  </si>
  <si>
    <t>Ingresos  Totales</t>
  </si>
  <si>
    <t>Pago de Costos</t>
  </si>
  <si>
    <t>Pago de Gastos</t>
  </si>
  <si>
    <t>Pago de Impuestos</t>
  </si>
  <si>
    <t>Egresos Totales</t>
  </si>
  <si>
    <t>Variación del Periodo</t>
  </si>
  <si>
    <t>Caja Inicial</t>
  </si>
  <si>
    <t>Caja Final</t>
  </si>
  <si>
    <t>EFE, ERI</t>
  </si>
  <si>
    <t>Capital Empleado</t>
  </si>
  <si>
    <t>Capital de Trabajo neto Operativo</t>
  </si>
  <si>
    <t>Capital Empleado Operativo</t>
  </si>
  <si>
    <t>Capital Empleado no Operativo</t>
  </si>
  <si>
    <t>Capital Empleado (Usos)</t>
  </si>
  <si>
    <t>Capital Empleado (Fuentes)</t>
  </si>
  <si>
    <t>Control de Cierre Capital Empleado</t>
  </si>
  <si>
    <t>Variación de Capital de Trabajo neto Operativo</t>
  </si>
  <si>
    <t>Liquidación de Impuestos</t>
  </si>
  <si>
    <t>Operativos</t>
  </si>
  <si>
    <t>Costos y Gastos no Deducibles</t>
  </si>
  <si>
    <t>Beneficios Tributarios</t>
  </si>
  <si>
    <t>Renta Líquida Operativa</t>
  </si>
  <si>
    <t>No Operativos</t>
  </si>
  <si>
    <t>Financieros</t>
  </si>
  <si>
    <t>Totales</t>
  </si>
  <si>
    <t>Renta Líquida</t>
  </si>
  <si>
    <t>Control de Cierre de Impuestos</t>
  </si>
  <si>
    <t>Rotaciones</t>
  </si>
  <si>
    <t>Cuentas Por Cobrar</t>
  </si>
  <si>
    <t>Inventarios</t>
  </si>
  <si>
    <t>Cuenta Por Pagar  (Costos)</t>
  </si>
  <si>
    <t>Otras Cuentas Por Pagar  (Gastos)</t>
  </si>
  <si>
    <t>Flujo de Caja del Proyecto Puro ( FCL)</t>
  </si>
  <si>
    <t>Provisión de Impuestos Operativos</t>
  </si>
  <si>
    <t>Utilidad neta Operativa después de Impuestos (UNODI)</t>
  </si>
  <si>
    <t>Inversiones de Capital</t>
  </si>
  <si>
    <t>Recuperación de Capital Empleado Operativo</t>
  </si>
  <si>
    <t>Flujo de Caja del Proyecto Puro (FCL)</t>
  </si>
  <si>
    <t>Valor del Proyecto FCL</t>
  </si>
  <si>
    <t>Valor Presente de la Inversión FCL</t>
  </si>
  <si>
    <t>Valor Presente Neto FCL</t>
  </si>
  <si>
    <t>Índice de Deseabilidad FCL</t>
  </si>
  <si>
    <t>Tasa Interna de Retorno FCL</t>
  </si>
  <si>
    <t>Tasa Interna de Retorno Modificada FCL</t>
  </si>
  <si>
    <t>Periodo de Recuperación de la Inversión Simple FCL</t>
  </si>
  <si>
    <t>Periodo de Recuperación de la Inversión Descontado FCL</t>
  </si>
  <si>
    <t>Periodo de Recuperación de la Inversión Simple FCL  (PRI)</t>
  </si>
  <si>
    <t>Periodo de Recuperación de la Inversión Descontado FCL  (PRID)</t>
  </si>
  <si>
    <t>Flujo de Caja del Proyecto Financiado ( FCAcc)</t>
  </si>
  <si>
    <t>Amortización de Crédito</t>
  </si>
  <si>
    <t xml:space="preserve">Desembolso neto </t>
  </si>
  <si>
    <t>Ahorro de Impuestos</t>
  </si>
  <si>
    <t>Valor del Proyecto FCAcc</t>
  </si>
  <si>
    <t>Valor Presente de la Inversión FCAcc</t>
  </si>
  <si>
    <t>Valor Presente Neto FCAcc</t>
  </si>
  <si>
    <t>Índice de Deseabilidad FCAcc</t>
  </si>
  <si>
    <t>Tasa Interna de Retorno FCAcc</t>
  </si>
  <si>
    <t>Tasa Interna de Retorno Modificada FCAcc</t>
  </si>
  <si>
    <t>Periodo de Recuperación de la Inversión Simple FCAcc</t>
  </si>
  <si>
    <t>Periodo de Recuperación de la Inversión Descontado FCAcc</t>
  </si>
  <si>
    <t>Periodo de Recuperación de la Inversión Simple FCAcc (PRI)</t>
  </si>
  <si>
    <t>Periodo de Recuperación de la Inversión Descontado  FCAcc (PRID)</t>
  </si>
  <si>
    <t>Valor del Proyecto FCL cada año</t>
  </si>
  <si>
    <t>Valor del Proyecto</t>
  </si>
  <si>
    <t>Deuda Total</t>
  </si>
  <si>
    <t>Desembolso Neto</t>
  </si>
  <si>
    <t>Gasto financiero</t>
  </si>
  <si>
    <t>Endeudamiento de Mercado</t>
  </si>
  <si>
    <t>Valor Económico Agregado</t>
  </si>
  <si>
    <t>Capital Empleado Operativo Inicial</t>
  </si>
  <si>
    <t>Rentabilidad sobre Capital Empleado Operativo</t>
  </si>
  <si>
    <t>EVA 1</t>
  </si>
  <si>
    <t>EVA2</t>
  </si>
  <si>
    <t>Creación de Valor del Proyecto</t>
  </si>
  <si>
    <t>Costo de Capital</t>
  </si>
  <si>
    <t>Valor Presente Neto</t>
  </si>
  <si>
    <t>USD ==&gt; COP</t>
  </si>
  <si>
    <t xml:space="preserve">COP = USD + DEV + USD * DEV </t>
  </si>
  <si>
    <t>USD</t>
  </si>
  <si>
    <t>COP</t>
  </si>
  <si>
    <t>Real</t>
  </si>
  <si>
    <t>FCL</t>
  </si>
  <si>
    <t>FCAcc</t>
  </si>
  <si>
    <t>EVA</t>
  </si>
  <si>
    <t>COP ==&gt; USD</t>
  </si>
  <si>
    <t>USD = ( COP - DEV ) / (1 + DEV )</t>
  </si>
  <si>
    <r>
      <rPr>
        <sz val="8"/>
        <rFont val="Arial Narrow"/>
        <family val="2"/>
        <charset val="1"/>
      </rPr>
      <t>COP</t>
    </r>
    <r>
      <rPr>
        <vertAlign val="subscript"/>
        <sz val="8"/>
        <rFont val="Arial Narrow"/>
        <family val="2"/>
        <charset val="1"/>
      </rPr>
      <t>1</t>
    </r>
    <r>
      <rPr>
        <sz val="8"/>
        <rFont val="Arial Narrow"/>
        <family val="2"/>
        <charset val="1"/>
      </rPr>
      <t xml:space="preserve"> </t>
    </r>
  </si>
  <si>
    <t>=</t>
  </si>
  <si>
    <r>
      <rPr>
        <sz val="8"/>
        <rFont val="Arial Narrow"/>
        <family val="2"/>
        <charset val="1"/>
      </rPr>
      <t>USD</t>
    </r>
    <r>
      <rPr>
        <vertAlign val="subscript"/>
        <sz val="8"/>
        <rFont val="Arial Narrow"/>
        <family val="2"/>
        <charset val="1"/>
      </rPr>
      <t>1</t>
    </r>
    <r>
      <rPr>
        <sz val="8"/>
        <rFont val="Arial Narrow"/>
        <family val="2"/>
        <charset val="1"/>
      </rPr>
      <t xml:space="preserve"> </t>
    </r>
  </si>
  <si>
    <t>+</t>
  </si>
  <si>
    <t>DEV</t>
  </si>
  <si>
    <t>*</t>
  </si>
  <si>
    <t>REAL ==&gt; NOM</t>
  </si>
  <si>
    <t>NOM = REAL + INF + REAL * INF</t>
  </si>
  <si>
    <r>
      <rPr>
        <sz val="8"/>
        <rFont val="Arial Narrow"/>
        <family val="2"/>
        <charset val="1"/>
      </rPr>
      <t>COP</t>
    </r>
    <r>
      <rPr>
        <vertAlign val="subscript"/>
        <sz val="8"/>
        <rFont val="Arial Narrow"/>
        <family val="2"/>
        <charset val="1"/>
      </rPr>
      <t>2</t>
    </r>
    <r>
      <rPr>
        <sz val="8"/>
        <rFont val="Arial Narrow"/>
        <family val="2"/>
        <charset val="1"/>
      </rPr>
      <t xml:space="preserve"> </t>
    </r>
  </si>
  <si>
    <r>
      <rPr>
        <sz val="8"/>
        <rFont val="Arial Narrow"/>
        <family val="2"/>
        <charset val="1"/>
      </rPr>
      <t>USD</t>
    </r>
    <r>
      <rPr>
        <vertAlign val="subscript"/>
        <sz val="8"/>
        <rFont val="Arial Narrow"/>
        <family val="2"/>
        <charset val="1"/>
      </rPr>
      <t>2</t>
    </r>
    <r>
      <rPr>
        <sz val="8"/>
        <rFont val="Arial Narrow"/>
        <family val="2"/>
        <charset val="1"/>
      </rPr>
      <t xml:space="preserve"> </t>
    </r>
  </si>
  <si>
    <r>
      <rPr>
        <sz val="8"/>
        <rFont val="Arial Narrow"/>
        <family val="2"/>
        <charset val="1"/>
      </rPr>
      <t>USD</t>
    </r>
    <r>
      <rPr>
        <vertAlign val="subscript"/>
        <sz val="8"/>
        <rFont val="Arial Narrow"/>
        <family val="2"/>
        <charset val="1"/>
      </rPr>
      <t xml:space="preserve">2 </t>
    </r>
  </si>
  <si>
    <t>Renta libre</t>
  </si>
  <si>
    <t>NOM ==&gt; REAL</t>
  </si>
  <si>
    <t>REAL = ( NOM - INF ) / (1 + INF )</t>
  </si>
  <si>
    <r>
      <rPr>
        <b/>
        <sz val="8"/>
        <rFont val="Arial Narrow"/>
        <family val="2"/>
        <charset val="1"/>
      </rPr>
      <t>COP</t>
    </r>
    <r>
      <rPr>
        <b/>
        <vertAlign val="subscript"/>
        <sz val="8"/>
        <rFont val="Arial Narrow"/>
        <family val="2"/>
        <charset val="1"/>
      </rPr>
      <t xml:space="preserve">1-2 </t>
    </r>
  </si>
  <si>
    <r>
      <rPr>
        <b/>
        <sz val="8"/>
        <rFont val="Arial Narrow"/>
        <family val="2"/>
        <charset val="1"/>
      </rPr>
      <t>USD</t>
    </r>
    <r>
      <rPr>
        <b/>
        <vertAlign val="subscript"/>
        <sz val="8"/>
        <rFont val="Arial Narrow"/>
        <family val="2"/>
        <charset val="1"/>
      </rPr>
      <t xml:space="preserve">1-2 </t>
    </r>
  </si>
  <si>
    <t>Riesgo país</t>
  </si>
  <si>
    <t>D(USD) ==&gt; D(COP)</t>
  </si>
  <si>
    <t xml:space="preserve">D(COP) = D(USD) + USD * DEV </t>
  </si>
  <si>
    <t>Prima por tamaño</t>
  </si>
  <si>
    <t>D(COP) ==&gt; D(USD)</t>
  </si>
  <si>
    <t>D(USD) = D(COP) / (1 + DEV )</t>
  </si>
  <si>
    <r>
      <rPr>
        <sz val="8"/>
        <rFont val="Arial Narrow"/>
        <family val="2"/>
        <charset val="1"/>
      </rPr>
      <t>(IPC</t>
    </r>
    <r>
      <rPr>
        <vertAlign val="subscript"/>
        <sz val="8"/>
        <rFont val="Arial Narrow"/>
        <family val="2"/>
        <charset val="1"/>
      </rPr>
      <t>COP</t>
    </r>
  </si>
  <si>
    <t>-</t>
  </si>
  <si>
    <r>
      <rPr>
        <sz val="8"/>
        <rFont val="Arial Narrow"/>
        <family val="2"/>
        <charset val="1"/>
      </rPr>
      <t xml:space="preserve"> IPC</t>
    </r>
    <r>
      <rPr>
        <vertAlign val="subscript"/>
        <sz val="8"/>
        <rFont val="Arial Narrow"/>
        <family val="2"/>
        <charset val="1"/>
      </rPr>
      <t>USD</t>
    </r>
    <r>
      <rPr>
        <sz val="8"/>
        <rFont val="Arial Narrow"/>
        <family val="2"/>
        <charset val="1"/>
      </rPr>
      <t>)</t>
    </r>
  </si>
  <si>
    <t xml:space="preserve"> /</t>
  </si>
  <si>
    <t>(1</t>
  </si>
  <si>
    <t>Premio de mercado</t>
  </si>
  <si>
    <t>D(REAL) ==&gt; D(NOM)</t>
  </si>
  <si>
    <t>D(NOM) = D(REAL) + REAL * INF</t>
  </si>
  <si>
    <t>Beta apalancado</t>
  </si>
  <si>
    <t>D(NOM) ==&gt;D(REAL)</t>
  </si>
  <si>
    <t>D(REAL) = D(NOM) / (1 + INF )</t>
  </si>
  <si>
    <r>
      <rPr>
        <sz val="8"/>
        <rFont val="Arial Narrow"/>
        <family val="2"/>
        <charset val="1"/>
      </rPr>
      <t>(1+IPC</t>
    </r>
    <r>
      <rPr>
        <vertAlign val="subscript"/>
        <sz val="8"/>
        <rFont val="Arial Narrow"/>
        <family val="2"/>
        <charset val="1"/>
      </rPr>
      <t>COP</t>
    </r>
    <r>
      <rPr>
        <sz val="8"/>
        <rFont val="Arial Narrow"/>
        <family val="2"/>
        <charset val="1"/>
      </rPr>
      <t>)</t>
    </r>
  </si>
  <si>
    <t xml:space="preserve"> =</t>
  </si>
  <si>
    <r>
      <rPr>
        <sz val="8"/>
        <rFont val="Arial Narrow"/>
        <family val="2"/>
        <charset val="1"/>
      </rPr>
      <t>(1+IPC</t>
    </r>
    <r>
      <rPr>
        <vertAlign val="subscript"/>
        <sz val="8"/>
        <rFont val="Arial Narrow"/>
        <family val="2"/>
        <charset val="1"/>
      </rPr>
      <t>USD</t>
    </r>
    <r>
      <rPr>
        <sz val="8"/>
        <rFont val="Arial Narrow"/>
        <family val="2"/>
        <charset val="1"/>
      </rPr>
      <t>)</t>
    </r>
  </si>
  <si>
    <t>(1+DEV)</t>
  </si>
  <si>
    <t>Costo de Patrimonio</t>
  </si>
  <si>
    <t>(1+COP)</t>
  </si>
  <si>
    <t>(1+USD)</t>
  </si>
  <si>
    <t>Convenciones</t>
  </si>
  <si>
    <t>(1+NOM)</t>
  </si>
  <si>
    <t>(1+REAL)</t>
  </si>
  <si>
    <t>(1+INF)</t>
  </si>
  <si>
    <t>Antes de impuestos</t>
  </si>
  <si>
    <t>USD tasa dólares</t>
  </si>
  <si>
    <t>Después de impuestos</t>
  </si>
  <si>
    <t>COP tasa pesos</t>
  </si>
  <si>
    <t xml:space="preserve">NOM tasa nominal </t>
  </si>
  <si>
    <t>Costo de Capital Promedio Ponderado</t>
  </si>
  <si>
    <t xml:space="preserve">REAL tasa real </t>
  </si>
  <si>
    <t xml:space="preserve">D(  ) diferencial de tasa </t>
  </si>
  <si>
    <t>Estructura de Mercado</t>
  </si>
  <si>
    <t>Beta activos</t>
  </si>
  <si>
    <t>Tasa de impuestos</t>
  </si>
  <si>
    <t>Inflación Promedio COP</t>
  </si>
  <si>
    <t>Inflación Promedio USD</t>
  </si>
  <si>
    <t>Devaluación promedio</t>
  </si>
  <si>
    <t>CCPP Asumido</t>
  </si>
  <si>
    <t>CCPP Calculado Kp Calculado</t>
  </si>
  <si>
    <t>CCPP Asumido Kp Calculado</t>
  </si>
  <si>
    <t>Proyecto</t>
  </si>
  <si>
    <t>Solución Empresa ABC SAS</t>
  </si>
  <si>
    <t>Escenario Propuesto</t>
  </si>
  <si>
    <t>Periodo de Análisis</t>
  </si>
  <si>
    <t>CCPP</t>
  </si>
  <si>
    <t>Flujo de Caja del Proyecto Puro</t>
  </si>
  <si>
    <t>Costos de Operación</t>
  </si>
  <si>
    <t>Gastos de Administración</t>
  </si>
  <si>
    <t xml:space="preserve">Impuesto de Operación </t>
  </si>
  <si>
    <t>Inversiones de Capital (CAPEX)</t>
  </si>
  <si>
    <t>Recuperación del Capital Empleado</t>
  </si>
  <si>
    <t>Costo Anual Equivalente (CAE)</t>
  </si>
  <si>
    <t>Costo Presente Neto (CPN)</t>
  </si>
  <si>
    <t>Costo Anual Equivalente</t>
  </si>
  <si>
    <t>Composición del Costo</t>
  </si>
  <si>
    <t>CPN</t>
  </si>
  <si>
    <t>CAE</t>
  </si>
  <si>
    <t>Participación</t>
  </si>
  <si>
    <t>Elegir ===&gt;</t>
  </si>
  <si>
    <t xml:space="preserve"> ====&gt;</t>
  </si>
  <si>
    <t>Flujo de Caja del Proyecto (Equivalente)</t>
  </si>
  <si>
    <t>Cargo de Capital</t>
  </si>
  <si>
    <t>Escenario Actual</t>
  </si>
  <si>
    <t>PPE Bruta</t>
  </si>
  <si>
    <t>Vida remanente</t>
  </si>
  <si>
    <t>Depr Acum</t>
  </si>
  <si>
    <t>Costo Presente Neto</t>
  </si>
  <si>
    <t>Análisis Incremental FCL</t>
  </si>
  <si>
    <t>Flujo de Caja del Proyecto Puro Diferencial</t>
  </si>
  <si>
    <t>Valor del proyecto</t>
  </si>
  <si>
    <t>Inversión Marginal</t>
  </si>
  <si>
    <t>Tasa Interna de Retorno TIR</t>
  </si>
  <si>
    <t>Tasa Interna de retorno Modificada</t>
  </si>
  <si>
    <t>Índice de  Deseabilidad</t>
  </si>
  <si>
    <t>Periodo de Recuperación de la Inversión Simple</t>
  </si>
  <si>
    <t>Periodo de Recuperación de la Inversión Descontado</t>
  </si>
  <si>
    <t>Análisis Incremental EVA</t>
  </si>
  <si>
    <t>Cargo de capital</t>
  </si>
  <si>
    <t>Valor Económico Agregado Diferencial</t>
  </si>
  <si>
    <t>Impuesto Operativo Sin Ingresos</t>
  </si>
  <si>
    <t>Impuesto Operativo Con Ingresos</t>
  </si>
  <si>
    <t>Ingreso adicional</t>
  </si>
  <si>
    <t>CAE sin Ingresos</t>
  </si>
  <si>
    <t>CAE antes de Impuestos</t>
  </si>
  <si>
    <t>Diferencia</t>
  </si>
  <si>
    <t>Escenario Macroeconómico Origen</t>
  </si>
  <si>
    <r>
      <rPr>
        <sz val="10"/>
        <rFont val="Arial Narrow"/>
        <family val="2"/>
        <charset val="1"/>
      </rPr>
      <t xml:space="preserve">Índice de Precios al Consumidor (IPC </t>
    </r>
    <r>
      <rPr>
        <vertAlign val="subscript"/>
        <sz val="10"/>
        <color rgb="FF000000"/>
        <rFont val="Arial Narrow"/>
        <family val="2"/>
        <charset val="1"/>
      </rPr>
      <t>COP</t>
    </r>
    <r>
      <rPr>
        <sz val="10"/>
        <rFont val="Arial Narrow"/>
        <family val="2"/>
        <charset val="1"/>
      </rPr>
      <t>)</t>
    </r>
  </si>
  <si>
    <r>
      <rPr>
        <sz val="10"/>
        <rFont val="Arial Narrow"/>
        <family val="2"/>
        <charset val="1"/>
      </rPr>
      <t xml:space="preserve">Índice de precios al Consumidor (IPC </t>
    </r>
    <r>
      <rPr>
        <vertAlign val="subscript"/>
        <sz val="10"/>
        <color rgb="FF000000"/>
        <rFont val="Arial Narrow"/>
        <family val="2"/>
        <charset val="1"/>
      </rPr>
      <t>USD</t>
    </r>
    <r>
      <rPr>
        <sz val="10"/>
        <rFont val="Arial Narrow"/>
        <family val="2"/>
        <charset val="1"/>
      </rPr>
      <t>)</t>
    </r>
  </si>
  <si>
    <r>
      <rPr>
        <sz val="10"/>
        <rFont val="Arial Narrow"/>
        <family val="2"/>
        <charset val="1"/>
      </rPr>
      <t xml:space="preserve">Índice de Precios al Productor (IPP </t>
    </r>
    <r>
      <rPr>
        <vertAlign val="subscript"/>
        <sz val="10"/>
        <color rgb="FF000000"/>
        <rFont val="Arial Narrow"/>
        <family val="2"/>
        <charset val="1"/>
      </rPr>
      <t>COP</t>
    </r>
    <r>
      <rPr>
        <sz val="10"/>
        <rFont val="Arial Narrow"/>
        <family val="2"/>
        <charset val="1"/>
      </rPr>
      <t>)</t>
    </r>
  </si>
  <si>
    <t>Producto Interno Bruto (PIB)</t>
  </si>
  <si>
    <t>Tasa de Cambio Final</t>
  </si>
  <si>
    <t>Tasa de Cambio Promedio</t>
  </si>
  <si>
    <t>Depósitos a Término Fijo (DTF)</t>
  </si>
  <si>
    <t>Libor (6m) fin de año</t>
  </si>
  <si>
    <t>Devaluación fin de año</t>
  </si>
  <si>
    <t>Incremento SMMLV</t>
  </si>
  <si>
    <t>Actualizado agosto de 2021</t>
  </si>
  <si>
    <t>Escenario Macroeconómico</t>
  </si>
  <si>
    <t>Unidades</t>
  </si>
  <si>
    <t>Factor de moneda</t>
  </si>
  <si>
    <t>Miles de millones de pesos</t>
  </si>
  <si>
    <t>Millones de pesos</t>
  </si>
  <si>
    <t>Pesos</t>
  </si>
  <si>
    <t>Otros Impositivos</t>
  </si>
  <si>
    <t>Tasa marginal de impuestos</t>
  </si>
  <si>
    <t>Porcentaje de anticipo</t>
  </si>
  <si>
    <t>Tarifa renta presuntiva</t>
  </si>
  <si>
    <t>Tasa de Interés</t>
  </si>
  <si>
    <t xml:space="preserve">Spread de Colocación </t>
  </si>
  <si>
    <t>Nominal T.A.</t>
  </si>
  <si>
    <t>Corto Plazo</t>
  </si>
  <si>
    <t>Spread de C.P.</t>
  </si>
  <si>
    <t>Spread de L.P.</t>
  </si>
  <si>
    <t>Largo Plazo</t>
  </si>
  <si>
    <t>Estimador de la prima de riesgo de mercado</t>
  </si>
  <si>
    <t>Cual es su tasa de renta libre</t>
  </si>
  <si>
    <t>LT</t>
  </si>
  <si>
    <t>ST</t>
  </si>
  <si>
    <t>Cual es el año inicial de su periodo</t>
  </si>
  <si>
    <t>Years</t>
  </si>
  <si>
    <t>Valor de las acciones en el año inicial</t>
  </si>
  <si>
    <t>Valor de las letras en el año inicial</t>
  </si>
  <si>
    <t>Valor de los bonos en el año inicial</t>
  </si>
  <si>
    <t>Prima de riesgo basado en sus supuestos</t>
  </si>
  <si>
    <t xml:space="preserve">Annual Returns on Investments </t>
  </si>
  <si>
    <t>Compounded Value of $ 100</t>
  </si>
  <si>
    <t>Year</t>
  </si>
  <si>
    <t>S&amp;P 500</t>
  </si>
  <si>
    <t>3-month T.Bill</t>
  </si>
  <si>
    <t>10-year T. Bond</t>
  </si>
  <si>
    <t>Stocks</t>
  </si>
  <si>
    <t>T.Bills</t>
  </si>
  <si>
    <t>T.Bonds</t>
  </si>
  <si>
    <t>Stocks - Bills</t>
  </si>
  <si>
    <t>Stocks - Bonds</t>
  </si>
  <si>
    <t>Historical risk premium</t>
  </si>
  <si>
    <t>Año</t>
  </si>
  <si>
    <t>Risk Premium</t>
  </si>
  <si>
    <t>Standard Error</t>
  </si>
  <si>
    <t>Arithmetic Average</t>
  </si>
  <si>
    <t>Stocks - T.Bills</t>
  </si>
  <si>
    <t>Stocks - T.Bonds</t>
  </si>
  <si>
    <t>Geometric Average</t>
  </si>
  <si>
    <t xml:space="preserve"> </t>
  </si>
  <si>
    <t>Source:</t>
  </si>
  <si>
    <t>www.damodaran.com</t>
  </si>
  <si>
    <t>Actualizado enero 2023</t>
  </si>
  <si>
    <t>Mínimo</t>
  </si>
  <si>
    <t>Máximo</t>
  </si>
  <si>
    <t>No. Años</t>
  </si>
  <si>
    <t>Parámetros</t>
  </si>
  <si>
    <t>Variación</t>
  </si>
  <si>
    <t>Selección</t>
  </si>
  <si>
    <t>Comparativo Costo de Capital</t>
  </si>
  <si>
    <t>Parámetro</t>
  </si>
  <si>
    <t>Históricos</t>
  </si>
  <si>
    <t>Spot</t>
  </si>
  <si>
    <t>Rl</t>
  </si>
  <si>
    <t>Rp</t>
  </si>
  <si>
    <t>Costo del Patrimonio</t>
  </si>
  <si>
    <t>Rt</t>
  </si>
  <si>
    <t>Rm-Rl</t>
  </si>
  <si>
    <t>(Rm-Rl)*Bapal</t>
  </si>
  <si>
    <t>Costo de la Deuda</t>
  </si>
  <si>
    <t>Antes de Impuestos</t>
  </si>
  <si>
    <t>Después de Impuestos</t>
  </si>
  <si>
    <t>Beta de los activos</t>
  </si>
  <si>
    <t>Estructura Financiera</t>
  </si>
  <si>
    <t>IPC COP</t>
  </si>
  <si>
    <t>CPI USD</t>
  </si>
  <si>
    <t>Devaluación</t>
  </si>
  <si>
    <t>Date</t>
  </si>
  <si>
    <t>1 Mo</t>
  </si>
  <si>
    <t>2 Mo</t>
  </si>
  <si>
    <t>3 Mo</t>
  </si>
  <si>
    <t>4 Mo</t>
  </si>
  <si>
    <t>6 Mo</t>
  </si>
  <si>
    <t>1 Yr</t>
  </si>
  <si>
    <t>2 Yr</t>
  </si>
  <si>
    <t>3 Yr</t>
  </si>
  <si>
    <t>5 Yr</t>
  </si>
  <si>
    <t>7 Yr</t>
  </si>
  <si>
    <t>10 Yr</t>
  </si>
  <si>
    <t>20 Yr</t>
  </si>
  <si>
    <t>30 Yr</t>
  </si>
  <si>
    <t>01/13/2023</t>
  </si>
  <si>
    <t>01/17/2023</t>
  </si>
  <si>
    <t>01/18/2023</t>
  </si>
  <si>
    <t>01/19/2023</t>
  </si>
  <si>
    <t>01/20/2023</t>
  </si>
  <si>
    <t>01/23/2023</t>
  </si>
  <si>
    <t>01/24/2023</t>
  </si>
  <si>
    <t>01/25/2023</t>
  </si>
  <si>
    <t>01/26/2023</t>
  </si>
  <si>
    <t>01/27/2023</t>
  </si>
  <si>
    <t>01/30/2023</t>
  </si>
  <si>
    <t>01/31/2023</t>
  </si>
  <si>
    <t>02/13/2023</t>
  </si>
  <si>
    <t>02/14/2023</t>
  </si>
  <si>
    <t>02/15/2023</t>
  </si>
  <si>
    <t>02/16/2023</t>
  </si>
  <si>
    <t>02/17/2023</t>
  </si>
  <si>
    <t>02/21/2023</t>
  </si>
  <si>
    <t>02/22/2023</t>
  </si>
  <si>
    <t>02/23/2023</t>
  </si>
  <si>
    <t>02/24/2023</t>
  </si>
  <si>
    <t>02/27/2023</t>
  </si>
  <si>
    <t>02/28/2023</t>
  </si>
  <si>
    <t>03/13/2023</t>
  </si>
  <si>
    <t>03/14/2023</t>
  </si>
  <si>
    <t>03/15/2023</t>
  </si>
  <si>
    <t>03/16/2023</t>
  </si>
  <si>
    <t>03/17/2023</t>
  </si>
  <si>
    <t>03/20/2023</t>
  </si>
  <si>
    <t>03/21/2023</t>
  </si>
  <si>
    <t>03/22/2023</t>
  </si>
  <si>
    <t>03/23/2023</t>
  </si>
  <si>
    <t>03/24/2023</t>
  </si>
  <si>
    <t>03/27/2023</t>
  </si>
  <si>
    <t>03/28/2023</t>
  </si>
  <si>
    <t>03/29/2023</t>
  </si>
  <si>
    <t>03/30/2023</t>
  </si>
  <si>
    <t>03/31/2023</t>
  </si>
  <si>
    <t>04/13/2023</t>
  </si>
  <si>
    <t>04/14/2023</t>
  </si>
  <si>
    <t>04/17/2023</t>
  </si>
  <si>
    <t>04/18/2023</t>
  </si>
  <si>
    <t>04/19/2023</t>
  </si>
  <si>
    <t>04/20/2023</t>
  </si>
  <si>
    <t>04/21/2023</t>
  </si>
  <si>
    <t>04/24/2023</t>
  </si>
  <si>
    <t>04/25/2023</t>
  </si>
  <si>
    <t>04/26/2023</t>
  </si>
  <si>
    <t>04/27/2023</t>
  </si>
  <si>
    <t>04/28/2023</t>
  </si>
  <si>
    <t>05/15/2023</t>
  </si>
  <si>
    <t>05/16/2023</t>
  </si>
  <si>
    <t>05/17/2023</t>
  </si>
  <si>
    <t>05/18/2023</t>
  </si>
  <si>
    <t>05/19/2023</t>
  </si>
  <si>
    <t>05/22/2023</t>
  </si>
  <si>
    <t>05/23/2023</t>
  </si>
  <si>
    <t>05/24/2023</t>
  </si>
  <si>
    <t>05/25/2023</t>
  </si>
  <si>
    <t>05/26/2023</t>
  </si>
  <si>
    <t>05/30/2023</t>
  </si>
  <si>
    <t>05/31/2023</t>
  </si>
  <si>
    <t>06/13/2023</t>
  </si>
  <si>
    <t>06/14/2023</t>
  </si>
  <si>
    <t>06/15/2023</t>
  </si>
  <si>
    <t>06/16/2023</t>
  </si>
  <si>
    <t>06/20/2023</t>
  </si>
  <si>
    <t>06/21/2023</t>
  </si>
  <si>
    <t>06/22/2023</t>
  </si>
  <si>
    <t>06/23/2023</t>
  </si>
  <si>
    <t>06/26/2023</t>
  </si>
  <si>
    <t>06/27/2023</t>
  </si>
  <si>
    <t>06/28/2023</t>
  </si>
  <si>
    <t>06/29/2023</t>
  </si>
  <si>
    <t>06/30/2023</t>
  </si>
  <si>
    <t>07/13/2023</t>
  </si>
  <si>
    <t>07/14/2023</t>
  </si>
  <si>
    <t>07/17/2023</t>
  </si>
  <si>
    <t>07/18/2023</t>
  </si>
  <si>
    <t>07/19/2023</t>
  </si>
  <si>
    <t>07/20/2023</t>
  </si>
  <si>
    <t>07/21/2023</t>
  </si>
  <si>
    <t>07/24/2023</t>
  </si>
  <si>
    <t>07/25/2023</t>
  </si>
  <si>
    <t>07/26/2023</t>
  </si>
  <si>
    <t>07/27/2023</t>
  </si>
  <si>
    <t>07/28/2023</t>
  </si>
  <si>
    <t>07/31/2023</t>
  </si>
  <si>
    <t xml:space="preserve">Promedio </t>
  </si>
  <si>
    <t>https://home.treasury.gov/resource-center/data-chart-center/interest-rates/TextView?type=daily_treasury_yield_curve&amp;field_tdr_date_value=2023</t>
  </si>
  <si>
    <t>Industry Name</t>
  </si>
  <si>
    <t>Number of firms</t>
  </si>
  <si>
    <t xml:space="preserve">Beta </t>
  </si>
  <si>
    <t>D/E Ratio</t>
  </si>
  <si>
    <t>Effective Tax rate</t>
  </si>
  <si>
    <t>Unlevered beta</t>
  </si>
  <si>
    <t>Cash/Firm value</t>
  </si>
  <si>
    <t>Unlevered beta corrected for cash</t>
  </si>
  <si>
    <t>HiLo Risk</t>
  </si>
  <si>
    <t>Standard deviation of equity</t>
  </si>
  <si>
    <t>Standard deviation in operating income (last 10 years)</t>
  </si>
  <si>
    <t>2019</t>
  </si>
  <si>
    <t>2020</t>
  </si>
  <si>
    <t>2021</t>
  </si>
  <si>
    <t>2022</t>
  </si>
  <si>
    <t>Average (19-23)</t>
  </si>
  <si>
    <t>Advertising</t>
  </si>
  <si>
    <t>Aerospace/Defense</t>
  </si>
  <si>
    <t>Air Transport</t>
  </si>
  <si>
    <t>Apparel</t>
  </si>
  <si>
    <t>Auto &amp; Truck</t>
  </si>
  <si>
    <t>Auto Parts</t>
  </si>
  <si>
    <t>Bank (Money Center)</t>
  </si>
  <si>
    <t>NA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</si>
  <si>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</si>
  <si>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</si>
  <si>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</si>
  <si>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</si>
  <si>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</si>
  <si>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</si>
  <si>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</si>
  <si>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</si>
  <si>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</si>
  <si>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</si>
  <si>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</si>
  <si>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</si>
  <si>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</si>
  <si>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</si>
  <si>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</si>
  <si>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</si>
  <si>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</si>
  <si>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</si>
  <si>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</si>
  <si>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</si>
  <si>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</si>
  <si>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</si>
  <si>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</si>
  <si>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</si>
  <si>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</si>
  <si>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</si>
  <si>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</si>
  <si>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</si>
  <si>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</si>
  <si>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</si>
  <si>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</si>
  <si>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</si>
  <si>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</si>
  <si>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Healthcare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</si>
  <si>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</si>
  <si>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</si>
  <si>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</si>
  <si>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</si>
  <si>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</si>
  <si>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</si>
  <si>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</si>
  <si>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</si>
  <si>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</si>
  <si>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</si>
  <si>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</si>
  <si>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</si>
  <si>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</si>
  <si>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</si>
  <si>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</si>
  <si>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</si>
  <si>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</si>
  <si>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</si>
  <si>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</si>
  <si>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</si>
  <si>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Publishing &amp; Newspapers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</si>
  <si>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</si>
  <si>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</si>
  <si>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</si>
  <si>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</si>
  <si>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</si>
  <si>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</si>
  <si>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</si>
  <si>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</si>
  <si>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</si>
  <si>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</si>
  <si>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</si>
  <si>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</si>
  <si>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</si>
  <si>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</si>
  <si>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</si>
  <si>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</si>
  <si>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</si>
  <si>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</si>
  <si>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</si>
  <si>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</si>
  <si>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</si>
  <si>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</si>
  <si>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</si>
  <si>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</si>
  <si>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</si>
  <si>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</si>
  <si>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</si>
  <si>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</si>
  <si>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</si>
  <si>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</si>
  <si>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</si>
  <si>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</si>
  <si>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Total Market</t>
  </si>
  <si>
    <t>Total Market (without financials)</t>
  </si>
  <si>
    <t>Fuente:</t>
  </si>
  <si>
    <t>WWW.DAMODARAN.COM</t>
  </si>
  <si>
    <t>Actualizado febrero de 2023</t>
  </si>
  <si>
    <t>EMBI COL</t>
  </si>
  <si>
    <t>Fecha</t>
  </si>
  <si>
    <t>Spread (pb)</t>
  </si>
  <si>
    <t>Promedio</t>
  </si>
  <si>
    <t xml:space="preserve">Actualizado </t>
  </si>
  <si>
    <t>No. Datos</t>
  </si>
  <si>
    <t>Spread</t>
  </si>
  <si>
    <t>21-Jan-20</t>
  </si>
  <si>
    <t>24-Jan-20</t>
  </si>
  <si>
    <t>27-Jan-20</t>
  </si>
  <si>
    <t>21-Aug-20</t>
  </si>
  <si>
    <t>24-Aug-20</t>
  </si>
  <si>
    <t>25-Aug-20</t>
  </si>
  <si>
    <t>26-Aug-20</t>
  </si>
  <si>
    <t>27-Aug-20</t>
  </si>
  <si>
    <t>28-Aug-20</t>
  </si>
  <si>
    <t>31-Aug-20</t>
  </si>
  <si>
    <t>Factor de descuento</t>
  </si>
  <si>
    <t>Descuento al cliente</t>
  </si>
  <si>
    <t>Cantidad</t>
  </si>
  <si>
    <t>IVA</t>
  </si>
  <si>
    <t>Total</t>
  </si>
  <si>
    <t>COP (descuento)</t>
  </si>
  <si>
    <t>Compresor + Secador + Filtro</t>
  </si>
  <si>
    <t>Redes, ductos, AQUAMAT y montaje</t>
  </si>
  <si>
    <t>Celulares y computadores</t>
  </si>
  <si>
    <t>Factor de actualización</t>
  </si>
  <si>
    <t>A</t>
  </si>
  <si>
    <t>B</t>
  </si>
  <si>
    <t>C</t>
  </si>
  <si>
    <t>USD 2023</t>
  </si>
  <si>
    <t>Filtros</t>
  </si>
  <si>
    <t>Aquamat</t>
  </si>
  <si>
    <t>USD de cada año</t>
  </si>
  <si>
    <t>USD con descuento</t>
  </si>
  <si>
    <t>Costo en MILES DE COP</t>
  </si>
  <si>
    <t>Alquiler de vehículo</t>
  </si>
  <si>
    <t>Ingenieros</t>
  </si>
  <si>
    <t>Telefonía personal</t>
  </si>
  <si>
    <t>Consumo eléctrico Actual (KWh)</t>
  </si>
  <si>
    <t>Consumo eléctrico con proyecto</t>
  </si>
  <si>
    <t>Unidades vendidas</t>
  </si>
  <si>
    <t>Precio Unitario</t>
  </si>
  <si>
    <t>Costo + Gasto</t>
  </si>
  <si>
    <t>Margen EBITDA</t>
  </si>
  <si>
    <t>Margen operativo</t>
  </si>
  <si>
    <t>Margen neto</t>
  </si>
  <si>
    <t>ROE</t>
  </si>
  <si>
    <t>ROA</t>
  </si>
  <si>
    <t>EBITDA/ INTERESES</t>
  </si>
  <si>
    <t>Acumulado Flujo de Caja del Proyecto Financiado ( FCAcc)</t>
  </si>
  <si>
    <t>Acumulado Flujo de Caja del Proyecto Puro (FCL)</t>
  </si>
  <si>
    <t>Crecimiento</t>
  </si>
  <si>
    <t>Análisis vertical</t>
  </si>
  <si>
    <t>Márgenes</t>
  </si>
  <si>
    <t>Margen bruto</t>
  </si>
  <si>
    <t>Margen operacional</t>
  </si>
  <si>
    <t>Margen UNODI</t>
  </si>
  <si>
    <t>Rentabilidades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</si>
</sst>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* #,##0.00_);_(* \(#,##0.00\);_(* \-??_);_(@_)"/>
    <numFmt numFmtId="165" formatCode="#,##0.000000"/>
    <numFmt numFmtId="166" formatCode="#,##0;[Blue]\-#,##0"/>
    <numFmt numFmtId="167" formatCode="#,##0;[Red]\(#,##0\)"/>
    <numFmt numFmtId="168" formatCode="0.0%"/>
    <numFmt numFmtId="169" formatCode="#,##0.00;[Red]\(#,##0.00\)"/>
    <numFmt numFmtId="170" formatCode="#,##0;[White]\(#,##0\)"/>
    <numFmt numFmtId="171" formatCode="0.000"/>
    <numFmt numFmtId="172" formatCode="#,##0;\(#,##0\)"/>
    <numFmt numFmtId="173" formatCode="#,##0_);[Red]\(#,##0\)"/>
    <numFmt numFmtId="174" formatCode="#,##0_);[Blue]\(#,##0\)"/>
    <numFmt numFmtId="175" formatCode="0.0"/>
    <numFmt numFmtId="176" formatCode="0.000_);\(0.000\)"/>
    <numFmt numFmtId="177" formatCode="m/d/yyyy"/>
    <numFmt numFmtId="178" formatCode="_-* #,##0.00_-;\-* #,##0.00_-;_-* \-??_-;_-@_-"/>
    <numFmt numFmtId="179" formatCode="_-* #,##0.000_-;\-* #,##0.000_-;_-* \-??_-;_-@_-"/>
    <numFmt numFmtId="180" formatCode="_-* #,##0.000_-;\-* #,##0.000_-;_-* \-???_-;_-@_-"/>
    <numFmt numFmtId="181" formatCode="_-&quot;$ &quot;* #,##0.00_-;&quot;-$ &quot;* #,##0.00_-;_-&quot;$ &quot;* \-??_-;_-@_-"/>
    <numFmt numFmtId="182" formatCode="_-&quot;$ &quot;* #,##0_-;&quot;-$ &quot;* #,##0_-;_-&quot;$ &quot;* \-??_-;_-@_-"/>
    <numFmt numFmtId="183" formatCode="&quot;$ &quot;#,##0"/>
  </numFmts>
  <fonts count="72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sz val="10"/>
      <name val="Geneva"/>
      <charset val="1"/>
    </font>
    <font>
      <sz val="12"/>
      <color rgb="FF000000"/>
      <name val="Calibri"/>
      <family val="2"/>
      <charset val="1"/>
    </font>
    <font>
      <sz val="8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8"/>
      <color rgb="FF0000FF"/>
      <name val="Arial Narrow"/>
      <family val="2"/>
      <charset val="1"/>
    </font>
    <font>
      <b/>
      <sz val="12"/>
      <color rgb="FFFFFFFF"/>
      <name val="Arial Narrow"/>
      <family val="2"/>
      <charset val="1"/>
    </font>
    <font>
      <sz val="11"/>
      <color rgb="FFFFFFFF"/>
      <name val="Arial Narrow"/>
      <family val="2"/>
      <charset val="1"/>
    </font>
    <font>
      <b/>
      <sz val="11"/>
      <color rgb="FF0000FF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b/>
      <sz val="14"/>
      <color rgb="FF31859C"/>
      <name val="Arial Narrow"/>
      <family val="2"/>
      <charset val="1"/>
    </font>
    <font>
      <b/>
      <sz val="8"/>
      <color rgb="FF000000"/>
      <name val="Arial Narrow"/>
      <family val="2"/>
      <charset val="1"/>
    </font>
    <font>
      <sz val="11"/>
      <color rgb="FF0000FF"/>
      <name val="Arial Narrow"/>
      <family val="2"/>
      <charset val="1"/>
    </font>
    <font>
      <b/>
      <sz val="11"/>
      <color rgb="FFC00000"/>
      <name val="Arial Narrow"/>
      <family val="2"/>
      <charset val="1"/>
    </font>
    <font>
      <b/>
      <sz val="11"/>
      <color rgb="FF31859C"/>
      <name val="Arial Narrow"/>
      <family val="2"/>
      <charset val="1"/>
    </font>
    <font>
      <b/>
      <sz val="14"/>
      <color rgb="FFC00000"/>
      <name val="Arial Narrow"/>
      <family val="2"/>
      <charset val="1"/>
    </font>
    <font>
      <sz val="11"/>
      <color rgb="FFC00000"/>
      <name val="Arial Narrow"/>
      <family val="2"/>
      <charset val="1"/>
    </font>
    <font>
      <sz val="10"/>
      <color rgb="FF0000FF"/>
      <name val="Arial Narrow"/>
      <family val="2"/>
      <charset val="1"/>
    </font>
    <font>
      <b/>
      <sz val="11"/>
      <color rgb="FFFFFFFF"/>
      <name val="Arial Narrow"/>
      <family val="2"/>
      <charset val="1"/>
    </font>
    <font>
      <b/>
      <sz val="11"/>
      <color rgb="FF77933C"/>
      <name val="Arial Narrow"/>
      <family val="2"/>
      <charset val="1"/>
    </font>
    <font>
      <b/>
      <sz val="11"/>
      <color rgb="FF376092"/>
      <name val="Arial Narrow"/>
      <family val="2"/>
      <charset val="1"/>
    </font>
    <font>
      <b/>
      <sz val="11"/>
      <color rgb="FFC0504D"/>
      <name val="Arial Narrow"/>
      <family val="2"/>
      <charset val="1"/>
    </font>
    <font>
      <b/>
      <sz val="18"/>
      <color rgb="FFFFFFFF"/>
      <name val="Calibri"/>
      <family val="2"/>
      <charset val="1"/>
    </font>
    <font>
      <b/>
      <sz val="14"/>
      <color rgb="FF376092"/>
      <name val="Arial Narrow"/>
      <family val="2"/>
      <charset val="1"/>
    </font>
    <font>
      <sz val="10"/>
      <name val="Arial Narrow"/>
      <family val="2"/>
      <charset val="1"/>
    </font>
    <font>
      <sz val="8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name val="Arial Narrow"/>
      <family val="2"/>
      <charset val="1"/>
    </font>
    <font>
      <b/>
      <sz val="14"/>
      <color rgb="FF77933C"/>
      <name val="Arial Narrow"/>
      <family val="2"/>
      <charset val="1"/>
    </font>
    <font>
      <b/>
      <sz val="14"/>
      <color rgb="FFC0504D"/>
      <name val="Arial Narrow"/>
      <family val="2"/>
      <charset val="1"/>
    </font>
    <font>
      <vertAlign val="subscript"/>
      <sz val="8"/>
      <name val="Arial Narrow"/>
      <family val="2"/>
      <charset val="1"/>
    </font>
    <font>
      <b/>
      <sz val="10"/>
      <color rgb="FF376092"/>
      <name val="Arial Narrow"/>
      <family val="2"/>
      <charset val="1"/>
    </font>
    <font>
      <b/>
      <sz val="12"/>
      <name val="Arial Narrow"/>
      <family val="2"/>
      <charset val="1"/>
    </font>
    <font>
      <sz val="10"/>
      <color rgb="FFD9D9D9"/>
      <name val="Arial Narrow"/>
      <family val="2"/>
      <charset val="1"/>
    </font>
    <font>
      <b/>
      <vertAlign val="subscript"/>
      <sz val="8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0"/>
      <color rgb="FF953735"/>
      <name val="Arial Narrow"/>
      <family val="2"/>
      <charset val="1"/>
    </font>
    <font>
      <b/>
      <sz val="10"/>
      <color rgb="FF77933C"/>
      <name val="Arial Narrow"/>
      <family val="2"/>
      <charset val="1"/>
    </font>
    <font>
      <sz val="10"/>
      <color rgb="FFC00000"/>
      <name val="Arial Narrow"/>
      <family val="2"/>
      <charset val="1"/>
    </font>
    <font>
      <sz val="8"/>
      <color rgb="FFA6A6A6"/>
      <name val="Arial Narrow"/>
      <family val="2"/>
      <charset val="1"/>
    </font>
    <font>
      <sz val="10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sz val="12"/>
      <color rgb="FF0000FF"/>
      <name val="Arial Narrow"/>
      <family val="2"/>
      <charset val="1"/>
    </font>
    <font>
      <b/>
      <sz val="16"/>
      <color rgb="FFFFFFFF"/>
      <name val="Arial Narrow"/>
      <family val="2"/>
      <charset val="1"/>
    </font>
    <font>
      <b/>
      <sz val="16"/>
      <color rgb="FF376092"/>
      <name val="Arial Narrow"/>
      <family val="2"/>
      <charset val="1"/>
    </font>
    <font>
      <sz val="10"/>
      <color rgb="FF376092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b/>
      <sz val="8"/>
      <color rgb="FFFFFFFF"/>
      <name val="Arial Narrow"/>
      <family val="2"/>
      <charset val="1"/>
    </font>
    <font>
      <sz val="10"/>
      <color rgb="FF4F81BD"/>
      <name val="Arial Narrow"/>
      <family val="2"/>
      <charset val="1"/>
    </font>
    <font>
      <b/>
      <sz val="11"/>
      <name val="Arial Narrow"/>
      <family val="2"/>
      <charset val="1"/>
    </font>
    <font>
      <sz val="11"/>
      <name val="Arial Narrow"/>
      <family val="2"/>
      <charset val="1"/>
    </font>
    <font>
      <sz val="9"/>
      <color rgb="FF000000"/>
      <name val="Tahoma"/>
      <family val="2"/>
      <charset val="1"/>
    </font>
    <font>
      <sz val="10"/>
      <color rgb="FFFFFFFF"/>
      <name val="Arial Narrow"/>
      <family val="2"/>
      <charset val="1"/>
    </font>
    <font>
      <b/>
      <sz val="10"/>
      <color rgb="FF0000FF"/>
      <name val="Arial Narrow"/>
      <family val="2"/>
      <charset val="1"/>
    </font>
    <font>
      <vertAlign val="subscript"/>
      <sz val="10"/>
      <color rgb="FF000000"/>
      <name val="Arial Narrow"/>
      <family val="2"/>
      <charset val="1"/>
    </font>
    <font>
      <b/>
      <sz val="6"/>
      <color rgb="FF000000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4"/>
      <color rgb="FF0000FF"/>
      <name val="Arial Narrow"/>
      <family val="2"/>
      <charset val="1"/>
    </font>
    <font>
      <sz val="10"/>
      <color rgb="FFA6A6A6"/>
      <name val="Arial Narrow"/>
      <family val="2"/>
      <charset val="1"/>
    </font>
    <font>
      <b/>
      <i/>
      <sz val="10"/>
      <name val="Arial Narrow"/>
      <family val="2"/>
      <charset val="1"/>
    </font>
    <font>
      <u/>
      <sz val="10"/>
      <color rgb="FF0000FF"/>
      <name val="Arial Narrow"/>
      <family val="2"/>
      <charset val="1"/>
    </font>
    <font>
      <u/>
      <sz val="11"/>
      <color rgb="FF0000FF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1"/>
      <color rgb="FF000000"/>
      <name val="Source Sans Pro"/>
      <family val="2"/>
      <charset val="1"/>
    </font>
    <font>
      <b/>
      <i/>
      <sz val="9"/>
      <color rgb="FFFFFFFF"/>
      <name val="Arial Narrow"/>
      <family val="2"/>
      <charset val="1"/>
    </font>
    <font>
      <sz val="10"/>
      <color rgb="FF000000"/>
      <name val="Trebuchet MS"/>
      <family val="2"/>
      <charset val="1"/>
    </font>
    <font>
      <b/>
      <sz val="10"/>
      <color rgb="FF000000"/>
      <name val="Trebuchet MS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31859C"/>
        <bgColor rgb="FF3C7AC7"/>
      </patternFill>
    </fill>
    <fill>
      <patternFill patternType="solid">
        <fgColor rgb="FFF2F2F2"/>
        <bgColor rgb="FFEEECE1"/>
      </patternFill>
    </fill>
    <fill>
      <patternFill patternType="solid">
        <fgColor rgb="FFDBEEF4"/>
        <bgColor rgb="FFDCE6F2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CC00"/>
      </patternFill>
    </fill>
    <fill>
      <patternFill patternType="solid">
        <fgColor rgb="FFEBF1DE"/>
        <bgColor rgb="FFEEECE1"/>
      </patternFill>
    </fill>
    <fill>
      <patternFill patternType="solid">
        <fgColor rgb="FF77933C"/>
        <bgColor rgb="FF878787"/>
      </patternFill>
    </fill>
    <fill>
      <patternFill patternType="solid">
        <fgColor rgb="FF9BBB59"/>
        <bgColor rgb="FFC4BD97"/>
      </patternFill>
    </fill>
    <fill>
      <patternFill patternType="solid">
        <fgColor rgb="FF376092"/>
        <bgColor rgb="FF2E5F99"/>
      </patternFill>
    </fill>
    <fill>
      <patternFill patternType="solid">
        <fgColor rgb="FF4F81BD"/>
        <bgColor rgb="FF3C7AC7"/>
      </patternFill>
    </fill>
    <fill>
      <patternFill patternType="solid">
        <fgColor rgb="FF953735"/>
        <bgColor rgb="FF9C2F2C"/>
      </patternFill>
    </fill>
    <fill>
      <patternFill patternType="solid">
        <fgColor rgb="FFC00000"/>
        <bgColor rgb="FFFF0000"/>
      </patternFill>
    </fill>
    <fill>
      <patternFill patternType="solid">
        <fgColor rgb="FFDCE6F2"/>
        <bgColor rgb="FFDBEEF4"/>
      </patternFill>
    </fill>
    <fill>
      <patternFill patternType="solid">
        <fgColor rgb="FFF2DCDB"/>
        <bgColor rgb="FFE3E3E3"/>
      </patternFill>
    </fill>
    <fill>
      <patternFill patternType="solid">
        <fgColor rgb="FFEEECE1"/>
        <bgColor rgb="FFEBF1DE"/>
      </patternFill>
    </fill>
    <fill>
      <patternFill patternType="solid">
        <fgColor rgb="FFFDEADA"/>
        <bgColor rgb="FFEEECE1"/>
      </patternFill>
    </fill>
    <fill>
      <patternFill patternType="solid">
        <fgColor rgb="FFD9D9D9"/>
        <bgColor rgb="FFE3E3E3"/>
      </patternFill>
    </fill>
    <fill>
      <patternFill patternType="solid">
        <fgColor rgb="FFC6D9F1"/>
        <bgColor rgb="FFD9D9D9"/>
      </patternFill>
    </fill>
    <fill>
      <patternFill patternType="solid">
        <fgColor rgb="FFC0504D"/>
        <bgColor rgb="FFCB3D39"/>
      </patternFill>
    </fill>
    <fill>
      <patternFill patternType="solid">
        <fgColor rgb="FF4F6228"/>
        <bgColor rgb="FF595959"/>
      </patternFill>
    </fill>
    <fill>
      <patternFill patternType="solid">
        <fgColor rgb="FFC4BD97"/>
        <bgColor rgb="FFBFBFBF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E3E3E3"/>
      </top>
      <bottom style="medium">
        <color rgb="FFE3E3E3"/>
      </bottom>
      <diagonal/>
    </border>
    <border>
      <left/>
      <right/>
      <top style="medium">
        <color rgb="FFE3E3E3"/>
      </top>
      <bottom/>
      <diagonal/>
    </border>
  </borders>
  <cellStyleXfs count="12">
    <xf numFmtId="0" fontId="0" fillId="0" borderId="0"/>
    <xf numFmtId="178" fontId="71" fillId="0" borderId="0" applyBorder="0" applyProtection="0"/>
    <xf numFmtId="181" fontId="71" fillId="0" borderId="0" applyBorder="0" applyProtection="0"/>
    <xf numFmtId="9" fontId="71" fillId="0" borderId="0" applyBorder="0" applyProtection="0"/>
    <xf numFmtId="0" fontId="63" fillId="0" borderId="0" applyBorder="0" applyProtection="0"/>
    <xf numFmtId="164" fontId="71" fillId="0" borderId="0" applyBorder="0" applyProtection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9" fontId="71" fillId="0" borderId="0" applyBorder="0" applyProtection="0"/>
  </cellStyleXfs>
  <cellXfs count="534">
    <xf numFmtId="0" fontId="0" fillId="0" borderId="0" xfId="0"/>
    <xf numFmtId="0" fontId="25" fillId="0" borderId="0" xfId="6" applyFont="1" applyAlignment="1">
      <alignment horizontal="center"/>
    </xf>
    <xf numFmtId="0" fontId="59" fillId="3" borderId="34" xfId="6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21" fillId="0" borderId="1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23" fillId="10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3" fontId="4" fillId="0" borderId="0" xfId="0" applyNumberFormat="1" applyFont="1"/>
    <xf numFmtId="165" fontId="4" fillId="0" borderId="0" xfId="0" applyNumberFormat="1" applyFont="1"/>
    <xf numFmtId="0" fontId="9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0" fontId="5" fillId="0" borderId="3" xfId="3" applyNumberFormat="1" applyFont="1" applyBorder="1" applyAlignment="1" applyProtection="1">
      <alignment horizontal="center"/>
    </xf>
    <xf numFmtId="10" fontId="5" fillId="0" borderId="4" xfId="3" applyNumberFormat="1" applyFont="1" applyBorder="1" applyAlignment="1" applyProtection="1">
      <alignment horizontal="center"/>
    </xf>
    <xf numFmtId="0" fontId="5" fillId="0" borderId="5" xfId="0" applyFont="1" applyBorder="1"/>
    <xf numFmtId="10" fontId="5" fillId="0" borderId="0" xfId="3" applyNumberFormat="1" applyFont="1" applyBorder="1" applyAlignment="1" applyProtection="1">
      <alignment horizontal="center"/>
    </xf>
    <xf numFmtId="10" fontId="5" fillId="0" borderId="6" xfId="3" applyNumberFormat="1" applyFont="1" applyBorder="1" applyAlignment="1" applyProtection="1">
      <alignment horizontal="center"/>
    </xf>
    <xf numFmtId="3" fontId="5" fillId="0" borderId="0" xfId="0" applyNumberFormat="1" applyFont="1"/>
    <xf numFmtId="3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10" fontId="5" fillId="0" borderId="8" xfId="3" applyNumberFormat="1" applyFont="1" applyBorder="1" applyAlignment="1" applyProtection="1">
      <alignment horizontal="center"/>
    </xf>
    <xf numFmtId="10" fontId="5" fillId="0" borderId="9" xfId="3" applyNumberFormat="1" applyFont="1" applyBorder="1" applyAlignment="1" applyProtection="1">
      <alignment horizontal="center"/>
    </xf>
    <xf numFmtId="0" fontId="5" fillId="5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3" borderId="10" xfId="0" applyFont="1" applyFill="1" applyBorder="1"/>
    <xf numFmtId="166" fontId="13" fillId="6" borderId="11" xfId="0" applyNumberFormat="1" applyFont="1" applyFill="1" applyBorder="1"/>
    <xf numFmtId="166" fontId="13" fillId="6" borderId="12" xfId="0" applyNumberFormat="1" applyFont="1" applyFill="1" applyBorder="1"/>
    <xf numFmtId="166" fontId="13" fillId="6" borderId="13" xfId="0" applyNumberFormat="1" applyFont="1" applyFill="1" applyBorder="1"/>
    <xf numFmtId="0" fontId="13" fillId="3" borderId="14" xfId="0" applyFont="1" applyFill="1" applyBorder="1"/>
    <xf numFmtId="166" fontId="13" fillId="3" borderId="15" xfId="0" applyNumberFormat="1" applyFont="1" applyFill="1" applyBorder="1"/>
    <xf numFmtId="166" fontId="13" fillId="3" borderId="0" xfId="0" applyNumberFormat="1" applyFont="1" applyFill="1"/>
    <xf numFmtId="166" fontId="13" fillId="3" borderId="16" xfId="0" applyNumberFormat="1" applyFont="1" applyFill="1" applyBorder="1"/>
    <xf numFmtId="0" fontId="13" fillId="3" borderId="17" xfId="0" applyFont="1" applyFill="1" applyBorder="1"/>
    <xf numFmtId="166" fontId="13" fillId="3" borderId="18" xfId="0" applyNumberFormat="1" applyFont="1" applyFill="1" applyBorder="1"/>
    <xf numFmtId="166" fontId="13" fillId="3" borderId="19" xfId="0" applyNumberFormat="1" applyFont="1" applyFill="1" applyBorder="1"/>
    <xf numFmtId="166" fontId="13" fillId="3" borderId="20" xfId="0" applyNumberFormat="1" applyFont="1" applyFill="1" applyBorder="1"/>
    <xf numFmtId="0" fontId="10" fillId="0" borderId="21" xfId="0" applyFont="1" applyBorder="1"/>
    <xf numFmtId="0" fontId="10" fillId="0" borderId="22" xfId="0" applyFont="1" applyBorder="1"/>
    <xf numFmtId="167" fontId="10" fillId="0" borderId="21" xfId="0" applyNumberFormat="1" applyFont="1" applyBorder="1"/>
    <xf numFmtId="166" fontId="13" fillId="3" borderId="2" xfId="0" applyNumberFormat="1" applyFont="1" applyFill="1" applyBorder="1"/>
    <xf numFmtId="166" fontId="13" fillId="3" borderId="3" xfId="0" applyNumberFormat="1" applyFont="1" applyFill="1" applyBorder="1"/>
    <xf numFmtId="166" fontId="13" fillId="3" borderId="4" xfId="0" applyNumberFormat="1" applyFont="1" applyFill="1" applyBorder="1"/>
    <xf numFmtId="166" fontId="13" fillId="3" borderId="5" xfId="0" applyNumberFormat="1" applyFont="1" applyFill="1" applyBorder="1"/>
    <xf numFmtId="166" fontId="13" fillId="3" borderId="6" xfId="0" applyNumberFormat="1" applyFont="1" applyFill="1" applyBorder="1"/>
    <xf numFmtId="166" fontId="13" fillId="3" borderId="7" xfId="0" applyNumberFormat="1" applyFont="1" applyFill="1" applyBorder="1"/>
    <xf numFmtId="166" fontId="13" fillId="3" borderId="8" xfId="0" applyNumberFormat="1" applyFont="1" applyFill="1" applyBorder="1"/>
    <xf numFmtId="166" fontId="13" fillId="3" borderId="9" xfId="0" applyNumberFormat="1" applyFont="1" applyFill="1" applyBorder="1"/>
    <xf numFmtId="0" fontId="10" fillId="0" borderId="0" xfId="0" applyFont="1"/>
    <xf numFmtId="167" fontId="10" fillId="0" borderId="0" xfId="0" applyNumberFormat="1" applyFont="1"/>
    <xf numFmtId="166" fontId="13" fillId="3" borderId="11" xfId="0" applyNumberFormat="1" applyFont="1" applyFill="1" applyBorder="1"/>
    <xf numFmtId="166" fontId="13" fillId="3" borderId="12" xfId="0" applyNumberFormat="1" applyFont="1" applyFill="1" applyBorder="1"/>
    <xf numFmtId="166" fontId="13" fillId="3" borderId="13" xfId="0" applyNumberFormat="1" applyFont="1" applyFill="1" applyBorder="1"/>
    <xf numFmtId="0" fontId="13" fillId="3" borderId="10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5" fillId="0" borderId="0" xfId="0" applyNumberFormat="1" applyFont="1"/>
    <xf numFmtId="0" fontId="5" fillId="7" borderId="0" xfId="0" applyFont="1" applyFill="1"/>
    <xf numFmtId="0" fontId="5" fillId="7" borderId="0" xfId="0" applyFont="1" applyFill="1" applyAlignment="1">
      <alignment horizontal="center"/>
    </xf>
    <xf numFmtId="167" fontId="5" fillId="7" borderId="0" xfId="0" applyNumberFormat="1" applyFont="1" applyFill="1"/>
    <xf numFmtId="167" fontId="10" fillId="0" borderId="22" xfId="0" applyNumberFormat="1" applyFont="1" applyBorder="1"/>
    <xf numFmtId="167" fontId="10" fillId="6" borderId="0" xfId="0" applyNumberFormat="1" applyFont="1" applyFill="1" applyAlignment="1">
      <alignment horizontal="center"/>
    </xf>
    <xf numFmtId="168" fontId="5" fillId="0" borderId="0" xfId="3" applyNumberFormat="1" applyFont="1" applyBorder="1" applyAlignment="1" applyProtection="1">
      <alignment horizontal="center"/>
    </xf>
    <xf numFmtId="167" fontId="10" fillId="6" borderId="0" xfId="0" applyNumberFormat="1" applyFont="1" applyFill="1" applyAlignment="1">
      <alignment horizontal="center" vertical="center"/>
    </xf>
    <xf numFmtId="9" fontId="5" fillId="0" borderId="0" xfId="0" applyNumberFormat="1" applyFont="1"/>
    <xf numFmtId="168" fontId="13" fillId="3" borderId="0" xfId="3" applyNumberFormat="1" applyFont="1" applyFill="1" applyBorder="1" applyAlignment="1" applyProtection="1">
      <alignment horizontal="center"/>
    </xf>
    <xf numFmtId="168" fontId="5" fillId="0" borderId="0" xfId="0" applyNumberFormat="1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23" xfId="0" applyFont="1" applyBorder="1"/>
    <xf numFmtId="167" fontId="5" fillId="0" borderId="16" xfId="0" applyNumberFormat="1" applyFont="1" applyBorder="1"/>
    <xf numFmtId="0" fontId="5" fillId="0" borderId="19" xfId="0" applyFont="1" applyBorder="1"/>
    <xf numFmtId="167" fontId="5" fillId="0" borderId="19" xfId="0" applyNumberFormat="1" applyFont="1" applyBorder="1"/>
    <xf numFmtId="167" fontId="5" fillId="0" borderId="20" xfId="0" applyNumberFormat="1" applyFont="1" applyBorder="1"/>
    <xf numFmtId="1" fontId="13" fillId="3" borderId="0" xfId="3" applyNumberFormat="1" applyFont="1" applyFill="1" applyBorder="1" applyAlignment="1" applyProtection="1">
      <alignment horizontal="center"/>
    </xf>
    <xf numFmtId="10" fontId="5" fillId="0" borderId="0" xfId="0" applyNumberFormat="1" applyFont="1"/>
    <xf numFmtId="0" fontId="10" fillId="0" borderId="24" xfId="0" applyFont="1" applyBorder="1"/>
    <xf numFmtId="167" fontId="10" fillId="0" borderId="24" xfId="0" applyNumberFormat="1" applyFont="1" applyBorder="1"/>
    <xf numFmtId="0" fontId="14" fillId="0" borderId="24" xfId="0" applyFont="1" applyBorder="1"/>
    <xf numFmtId="169" fontId="14" fillId="0" borderId="24" xfId="0" applyNumberFormat="1" applyFont="1" applyBorder="1" applyAlignment="1">
      <alignment horizontal="center"/>
    </xf>
    <xf numFmtId="0" fontId="14" fillId="0" borderId="0" xfId="0" applyFont="1"/>
    <xf numFmtId="169" fontId="14" fillId="0" borderId="0" xfId="0" applyNumberFormat="1" applyFont="1" applyAlignment="1">
      <alignment horizontal="center"/>
    </xf>
    <xf numFmtId="10" fontId="14" fillId="0" borderId="0" xfId="3" applyNumberFormat="1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169" fontId="17" fillId="0" borderId="0" xfId="0" applyNumberFormat="1" applyFont="1" applyAlignment="1">
      <alignment horizontal="center"/>
    </xf>
    <xf numFmtId="0" fontId="18" fillId="3" borderId="0" xfId="0" applyFont="1" applyFill="1" applyAlignment="1">
      <alignment horizontal="center"/>
    </xf>
    <xf numFmtId="0" fontId="19" fillId="9" borderId="22" xfId="0" applyFont="1" applyFill="1" applyBorder="1"/>
    <xf numFmtId="0" fontId="20" fillId="9" borderId="22" xfId="0" applyFont="1" applyFill="1" applyBorder="1"/>
    <xf numFmtId="170" fontId="19" fillId="9" borderId="22" xfId="0" applyNumberFormat="1" applyFont="1" applyFill="1" applyBorder="1"/>
    <xf numFmtId="0" fontId="10" fillId="0" borderId="11" xfId="0" applyFont="1" applyBorder="1"/>
    <xf numFmtId="0" fontId="10" fillId="0" borderId="12" xfId="0" applyFont="1" applyBorder="1"/>
    <xf numFmtId="10" fontId="10" fillId="0" borderId="13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10" fillId="0" borderId="15" xfId="0" applyFont="1" applyBorder="1"/>
    <xf numFmtId="167" fontId="10" fillId="0" borderId="16" xfId="0" applyNumberFormat="1" applyFont="1" applyBorder="1"/>
    <xf numFmtId="171" fontId="5" fillId="0" borderId="16" xfId="0" applyNumberFormat="1" applyFont="1" applyBorder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18" xfId="0" applyFont="1" applyBorder="1"/>
    <xf numFmtId="2" fontId="5" fillId="0" borderId="2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9" fillId="11" borderId="22" xfId="0" applyFont="1" applyFill="1" applyBorder="1"/>
    <xf numFmtId="0" fontId="20" fillId="11" borderId="22" xfId="0" applyFont="1" applyFill="1" applyBorder="1"/>
    <xf numFmtId="170" fontId="19" fillId="11" borderId="22" xfId="0" applyNumberFormat="1" applyFont="1" applyFill="1" applyBorder="1"/>
    <xf numFmtId="0" fontId="21" fillId="0" borderId="0" xfId="0" applyFont="1" applyAlignment="1">
      <alignment horizontal="center"/>
    </xf>
    <xf numFmtId="10" fontId="10" fillId="0" borderId="24" xfId="3" applyNumberFormat="1" applyFont="1" applyBorder="1" applyProtection="1"/>
    <xf numFmtId="10" fontId="10" fillId="0" borderId="24" xfId="3" applyNumberFormat="1" applyFont="1" applyBorder="1" applyAlignment="1" applyProtection="1">
      <alignment horizontal="center"/>
    </xf>
    <xf numFmtId="0" fontId="22" fillId="0" borderId="22" xfId="0" applyFont="1" applyBorder="1"/>
    <xf numFmtId="10" fontId="10" fillId="0" borderId="0" xfId="0" applyNumberFormat="1" applyFont="1" applyAlignment="1">
      <alignment horizontal="center"/>
    </xf>
    <xf numFmtId="0" fontId="25" fillId="0" borderId="0" xfId="0" applyFont="1" applyProtection="1">
      <protection hidden="1"/>
    </xf>
    <xf numFmtId="0" fontId="26" fillId="3" borderId="10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left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top"/>
      <protection hidden="1"/>
    </xf>
    <xf numFmtId="0" fontId="28" fillId="0" borderId="0" xfId="0" applyFont="1" applyAlignment="1" applyProtection="1">
      <alignment horizontal="center" vertical="top"/>
      <protection hidden="1"/>
    </xf>
    <xf numFmtId="0" fontId="29" fillId="0" borderId="25" xfId="0" applyFont="1" applyBorder="1" applyAlignment="1" applyProtection="1">
      <alignment horizontal="center" vertical="top"/>
      <protection hidden="1"/>
    </xf>
    <xf numFmtId="0" fontId="24" fillId="0" borderId="26" xfId="0" applyFont="1" applyBorder="1" applyAlignment="1" applyProtection="1">
      <alignment horizontal="center" vertical="top"/>
      <protection hidden="1"/>
    </xf>
    <xf numFmtId="0" fontId="30" fillId="0" borderId="27" xfId="0" applyFont="1" applyBorder="1" applyAlignment="1" applyProtection="1">
      <alignment horizontal="center" vertical="top"/>
      <protection hidden="1"/>
    </xf>
    <xf numFmtId="0" fontId="26" fillId="3" borderId="14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left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top"/>
      <protection hidden="1"/>
    </xf>
    <xf numFmtId="0" fontId="32" fillId="0" borderId="0" xfId="0" applyFont="1" applyAlignment="1" applyProtection="1">
      <alignment horizontal="center" vertical="top"/>
      <protection hidden="1"/>
    </xf>
    <xf numFmtId="172" fontId="33" fillId="0" borderId="28" xfId="0" applyNumberFormat="1" applyFont="1" applyBorder="1" applyAlignment="1" applyProtection="1">
      <alignment horizontal="center" vertical="top"/>
      <protection hidden="1"/>
    </xf>
    <xf numFmtId="172" fontId="33" fillId="0" borderId="23" xfId="0" applyNumberFormat="1" applyFont="1" applyBorder="1" applyAlignment="1" applyProtection="1">
      <alignment horizontal="center" vertical="top"/>
      <protection hidden="1"/>
    </xf>
    <xf numFmtId="172" fontId="33" fillId="0" borderId="29" xfId="0" applyNumberFormat="1" applyFont="1" applyBorder="1" applyAlignment="1" applyProtection="1">
      <alignment horizontal="center" vertical="top"/>
      <protection hidden="1"/>
    </xf>
    <xf numFmtId="10" fontId="18" fillId="3" borderId="10" xfId="0" applyNumberFormat="1" applyFont="1" applyFill="1" applyBorder="1" applyAlignment="1" applyProtection="1">
      <alignment horizontal="center"/>
      <protection locked="0"/>
    </xf>
    <xf numFmtId="10" fontId="25" fillId="0" borderId="0" xfId="0" applyNumberFormat="1" applyFont="1" applyProtection="1">
      <protection hidden="1"/>
    </xf>
    <xf numFmtId="10" fontId="34" fillId="0" borderId="0" xfId="0" applyNumberFormat="1" applyFont="1" applyAlignment="1" applyProtection="1">
      <alignment horizontal="center"/>
      <protection hidden="1"/>
    </xf>
    <xf numFmtId="4" fontId="7" fillId="13" borderId="30" xfId="0" applyNumberFormat="1" applyFont="1" applyFill="1" applyBorder="1" applyAlignment="1" applyProtection="1">
      <alignment horizontal="center"/>
      <protection hidden="1"/>
    </xf>
    <xf numFmtId="4" fontId="7" fillId="13" borderId="31" xfId="0" applyNumberFormat="1" applyFont="1" applyFill="1" applyBorder="1" applyAlignment="1" applyProtection="1">
      <alignment horizontal="center"/>
      <protection hidden="1"/>
    </xf>
    <xf numFmtId="4" fontId="7" fillId="13" borderId="32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top"/>
      <protection hidden="1"/>
    </xf>
    <xf numFmtId="0" fontId="27" fillId="0" borderId="0" xfId="0" applyFont="1" applyAlignment="1" applyProtection="1">
      <alignment horizontal="center"/>
      <protection hidden="1"/>
    </xf>
    <xf numFmtId="10" fontId="18" fillId="3" borderId="14" xfId="0" applyNumberFormat="1" applyFont="1" applyFill="1" applyBorder="1" applyAlignment="1" applyProtection="1">
      <alignment horizontal="center"/>
      <protection locked="0"/>
    </xf>
    <xf numFmtId="10" fontId="25" fillId="0" borderId="0" xfId="0" applyNumberFormat="1" applyFont="1" applyAlignment="1" applyProtection="1">
      <alignment horizontal="center"/>
      <protection hidden="1"/>
    </xf>
    <xf numFmtId="10" fontId="18" fillId="3" borderId="17" xfId="0" applyNumberFormat="1" applyFont="1" applyFill="1" applyBorder="1" applyAlignment="1" applyProtection="1">
      <alignment horizontal="center"/>
      <protection locked="0"/>
    </xf>
    <xf numFmtId="171" fontId="25" fillId="0" borderId="0" xfId="0" applyNumberFormat="1" applyFont="1" applyAlignment="1" applyProtection="1">
      <alignment horizontal="center"/>
      <protection hidden="1"/>
    </xf>
    <xf numFmtId="0" fontId="26" fillId="3" borderId="17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left"/>
    </xf>
    <xf numFmtId="0" fontId="32" fillId="14" borderId="22" xfId="0" applyFont="1" applyFill="1" applyBorder="1" applyProtection="1">
      <protection hidden="1"/>
    </xf>
    <xf numFmtId="10" fontId="32" fillId="14" borderId="22" xfId="0" applyNumberFormat="1" applyFont="1" applyFill="1" applyBorder="1" applyAlignment="1" applyProtection="1">
      <alignment horizontal="center"/>
      <protection hidden="1"/>
    </xf>
    <xf numFmtId="10" fontId="28" fillId="0" borderId="0" xfId="0" applyNumberFormat="1" applyFont="1" applyAlignment="1" applyProtection="1">
      <alignment horizontal="center"/>
      <protection hidden="1"/>
    </xf>
    <xf numFmtId="0" fontId="36" fillId="0" borderId="0" xfId="0" applyFont="1"/>
    <xf numFmtId="0" fontId="25" fillId="0" borderId="0" xfId="0" applyFont="1"/>
    <xf numFmtId="0" fontId="37" fillId="0" borderId="0" xfId="0" applyFont="1" applyAlignment="1" applyProtection="1">
      <alignment horizontal="center"/>
      <protection hidden="1"/>
    </xf>
    <xf numFmtId="0" fontId="27" fillId="3" borderId="10" xfId="0" applyFont="1" applyFill="1" applyBorder="1" applyAlignment="1">
      <alignment horizontal="center" vertical="center"/>
    </xf>
    <xf numFmtId="10" fontId="25" fillId="0" borderId="0" xfId="11" applyNumberFormat="1" applyFont="1" applyBorder="1" applyAlignment="1" applyProtection="1">
      <alignment horizontal="center"/>
      <protection hidden="1"/>
    </xf>
    <xf numFmtId="10" fontId="18" fillId="3" borderId="1" xfId="11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hidden="1"/>
    </xf>
    <xf numFmtId="2" fontId="28" fillId="0" borderId="0" xfId="0" applyNumberFormat="1" applyFont="1" applyAlignment="1" applyProtection="1">
      <alignment horizontal="center"/>
      <protection hidden="1"/>
    </xf>
    <xf numFmtId="0" fontId="26" fillId="3" borderId="10" xfId="0" applyFont="1" applyFill="1" applyBorder="1" applyAlignment="1">
      <alignment horizontal="left"/>
    </xf>
    <xf numFmtId="0" fontId="37" fillId="15" borderId="22" xfId="0" applyFont="1" applyFill="1" applyBorder="1" applyProtection="1">
      <protection hidden="1"/>
    </xf>
    <xf numFmtId="10" fontId="37" fillId="15" borderId="22" xfId="0" applyNumberFormat="1" applyFont="1" applyFill="1" applyBorder="1" applyAlignment="1" applyProtection="1">
      <alignment horizontal="center"/>
      <protection hidden="1"/>
    </xf>
    <xf numFmtId="10" fontId="37" fillId="15" borderId="21" xfId="0" applyNumberFormat="1" applyFont="1" applyFill="1" applyBorder="1" applyAlignment="1" applyProtection="1">
      <alignment horizontal="center"/>
      <protection hidden="1"/>
    </xf>
    <xf numFmtId="0" fontId="26" fillId="3" borderId="14" xfId="0" applyFont="1" applyFill="1" applyBorder="1" applyAlignment="1">
      <alignment horizontal="left"/>
    </xf>
    <xf numFmtId="0" fontId="28" fillId="0" borderId="0" xfId="0" applyFont="1" applyAlignment="1" applyProtection="1">
      <alignment horizontal="center"/>
      <protection hidden="1"/>
    </xf>
    <xf numFmtId="0" fontId="38" fillId="7" borderId="22" xfId="0" applyFont="1" applyFill="1" applyBorder="1" applyProtection="1">
      <protection hidden="1"/>
    </xf>
    <xf numFmtId="10" fontId="38" fillId="7" borderId="22" xfId="0" applyNumberFormat="1" applyFont="1" applyFill="1" applyBorder="1" applyAlignment="1" applyProtection="1">
      <alignment horizontal="center"/>
      <protection hidden="1"/>
    </xf>
    <xf numFmtId="0" fontId="26" fillId="3" borderId="17" xfId="0" applyFont="1" applyFill="1" applyBorder="1" applyAlignment="1">
      <alignment horizontal="left"/>
    </xf>
    <xf numFmtId="10" fontId="18" fillId="0" borderId="0" xfId="0" applyNumberFormat="1" applyFont="1" applyAlignment="1" applyProtection="1">
      <alignment horizontal="center"/>
      <protection locked="0"/>
    </xf>
    <xf numFmtId="171" fontId="18" fillId="3" borderId="1" xfId="0" applyNumberFormat="1" applyFont="1" applyFill="1" applyBorder="1" applyAlignment="1" applyProtection="1">
      <alignment horizontal="center"/>
      <protection locked="0"/>
    </xf>
    <xf numFmtId="10" fontId="18" fillId="3" borderId="14" xfId="11" applyNumberFormat="1" applyFont="1" applyFill="1" applyBorder="1" applyAlignment="1" applyProtection="1">
      <alignment horizontal="center"/>
      <protection hidden="1"/>
    </xf>
    <xf numFmtId="10" fontId="18" fillId="0" borderId="1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41" fillId="0" borderId="0" xfId="0" applyFont="1"/>
    <xf numFmtId="0" fontId="42" fillId="0" borderId="0" xfId="0" applyFont="1"/>
    <xf numFmtId="0" fontId="44" fillId="10" borderId="1" xfId="0" applyFont="1" applyFill="1" applyBorder="1" applyAlignment="1">
      <alignment horizontal="center"/>
    </xf>
    <xf numFmtId="10" fontId="18" fillId="3" borderId="0" xfId="0" applyNumberFormat="1" applyFont="1" applyFill="1" applyAlignment="1">
      <alignment horizontal="center"/>
    </xf>
    <xf numFmtId="9" fontId="41" fillId="0" borderId="0" xfId="0" applyNumberFormat="1" applyFont="1"/>
    <xf numFmtId="167" fontId="41" fillId="0" borderId="0" xfId="0" applyNumberFormat="1" applyFont="1"/>
    <xf numFmtId="0" fontId="28" fillId="0" borderId="0" xfId="0" applyFont="1" applyAlignment="1">
      <alignment horizontal="center"/>
    </xf>
    <xf numFmtId="0" fontId="45" fillId="14" borderId="0" xfId="0" applyFont="1" applyFill="1" applyAlignment="1">
      <alignment horizontal="center"/>
    </xf>
    <xf numFmtId="173" fontId="41" fillId="0" borderId="0" xfId="0" applyNumberFormat="1" applyFont="1"/>
    <xf numFmtId="174" fontId="46" fillId="3" borderId="0" xfId="0" applyNumberFormat="1" applyFont="1" applyFill="1"/>
    <xf numFmtId="167" fontId="47" fillId="0" borderId="0" xfId="0" applyNumberFormat="1" applyFont="1"/>
    <xf numFmtId="174" fontId="18" fillId="3" borderId="0" xfId="0" applyNumberFormat="1" applyFont="1" applyFill="1"/>
    <xf numFmtId="0" fontId="47" fillId="0" borderId="0" xfId="0" applyFont="1"/>
    <xf numFmtId="0" fontId="47" fillId="0" borderId="22" xfId="0" applyFont="1" applyBorder="1"/>
    <xf numFmtId="167" fontId="47" fillId="0" borderId="22" xfId="0" applyNumberFormat="1" applyFont="1" applyBorder="1"/>
    <xf numFmtId="174" fontId="41" fillId="16" borderId="0" xfId="0" applyNumberFormat="1" applyFont="1" applyFill="1"/>
    <xf numFmtId="0" fontId="47" fillId="14" borderId="22" xfId="0" applyFont="1" applyFill="1" applyBorder="1"/>
    <xf numFmtId="167" fontId="47" fillId="14" borderId="22" xfId="0" applyNumberFormat="1" applyFont="1" applyFill="1" applyBorder="1"/>
    <xf numFmtId="0" fontId="32" fillId="0" borderId="0" xfId="0" applyFont="1" applyAlignment="1">
      <alignment horizontal="center"/>
    </xf>
    <xf numFmtId="0" fontId="48" fillId="10" borderId="0" xfId="0" applyFont="1" applyFill="1" applyAlignment="1">
      <alignment horizontal="center"/>
    </xf>
    <xf numFmtId="0" fontId="49" fillId="10" borderId="0" xfId="0" applyFont="1" applyFill="1" applyAlignment="1">
      <alignment horizontal="center"/>
    </xf>
    <xf numFmtId="10" fontId="41" fillId="0" borderId="0" xfId="3" applyNumberFormat="1" applyFont="1" applyBorder="1" applyAlignment="1" applyProtection="1">
      <alignment horizontal="center"/>
    </xf>
    <xf numFmtId="0" fontId="47" fillId="6" borderId="0" xfId="0" applyFont="1" applyFill="1"/>
    <xf numFmtId="0" fontId="41" fillId="0" borderId="33" xfId="0" applyFont="1" applyBorder="1" applyAlignment="1">
      <alignment horizontal="center"/>
    </xf>
    <xf numFmtId="0" fontId="47" fillId="0" borderId="0" xfId="0" applyFont="1" applyAlignment="1">
      <alignment horizontal="center"/>
    </xf>
    <xf numFmtId="10" fontId="47" fillId="14" borderId="22" xfId="0" applyNumberFormat="1" applyFont="1" applyFill="1" applyBorder="1" applyAlignment="1">
      <alignment horizontal="center"/>
    </xf>
    <xf numFmtId="173" fontId="41" fillId="7" borderId="0" xfId="0" applyNumberFormat="1" applyFont="1" applyFill="1"/>
    <xf numFmtId="173" fontId="47" fillId="0" borderId="0" xfId="0" applyNumberFormat="1" applyFont="1"/>
    <xf numFmtId="0" fontId="41" fillId="5" borderId="0" xfId="0" applyFont="1" applyFill="1"/>
    <xf numFmtId="0" fontId="41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74" fontId="18" fillId="0" borderId="0" xfId="0" applyNumberFormat="1" applyFont="1"/>
    <xf numFmtId="174" fontId="41" fillId="0" borderId="0" xfId="0" applyNumberFormat="1" applyFont="1"/>
    <xf numFmtId="0" fontId="25" fillId="0" borderId="0" xfId="0" applyFont="1" applyAlignment="1">
      <alignment horizontal="center"/>
    </xf>
    <xf numFmtId="174" fontId="50" fillId="0" borderId="0" xfId="0" applyNumberFormat="1" applyFont="1"/>
    <xf numFmtId="10" fontId="25" fillId="0" borderId="0" xfId="0" applyNumberFormat="1" applyFont="1" applyAlignment="1">
      <alignment horizontal="center"/>
    </xf>
    <xf numFmtId="174" fontId="41" fillId="3" borderId="0" xfId="0" applyNumberFormat="1" applyFont="1" applyFill="1"/>
    <xf numFmtId="0" fontId="18" fillId="3" borderId="0" xfId="0" applyFont="1" applyFill="1"/>
    <xf numFmtId="0" fontId="41" fillId="0" borderId="22" xfId="0" applyFont="1" applyBorder="1"/>
    <xf numFmtId="10" fontId="47" fillId="0" borderId="22" xfId="0" applyNumberFormat="1" applyFont="1" applyBorder="1" applyAlignment="1">
      <alignment horizontal="center"/>
    </xf>
    <xf numFmtId="0" fontId="41" fillId="0" borderId="8" xfId="0" applyFont="1" applyBorder="1"/>
    <xf numFmtId="0" fontId="51" fillId="0" borderId="11" xfId="0" applyFont="1" applyBorder="1"/>
    <xf numFmtId="0" fontId="51" fillId="0" borderId="12" xfId="0" applyFont="1" applyBorder="1"/>
    <xf numFmtId="10" fontId="51" fillId="0" borderId="13" xfId="0" applyNumberFormat="1" applyFont="1" applyBorder="1" applyAlignment="1">
      <alignment horizontal="center"/>
    </xf>
    <xf numFmtId="0" fontId="52" fillId="0" borderId="15" xfId="0" applyFont="1" applyBorder="1"/>
    <xf numFmtId="0" fontId="52" fillId="0" borderId="0" xfId="0" applyFont="1"/>
    <xf numFmtId="173" fontId="52" fillId="0" borderId="16" xfId="0" applyNumberFormat="1" applyFont="1" applyBorder="1"/>
    <xf numFmtId="167" fontId="52" fillId="0" borderId="16" xfId="0" applyNumberFormat="1" applyFont="1" applyBorder="1"/>
    <xf numFmtId="0" fontId="51" fillId="0" borderId="15" xfId="0" applyFont="1" applyBorder="1"/>
    <xf numFmtId="0" fontId="51" fillId="0" borderId="0" xfId="0" applyFont="1"/>
    <xf numFmtId="173" fontId="51" fillId="0" borderId="16" xfId="0" applyNumberFormat="1" applyFont="1" applyBorder="1"/>
    <xf numFmtId="10" fontId="52" fillId="0" borderId="16" xfId="0" applyNumberFormat="1" applyFont="1" applyBorder="1" applyAlignment="1">
      <alignment horizontal="center"/>
    </xf>
    <xf numFmtId="2" fontId="52" fillId="0" borderId="16" xfId="0" applyNumberFormat="1" applyFont="1" applyBorder="1" applyAlignment="1">
      <alignment horizontal="center"/>
    </xf>
    <xf numFmtId="0" fontId="52" fillId="0" borderId="18" xfId="0" applyFont="1" applyBorder="1"/>
    <xf numFmtId="0" fontId="52" fillId="0" borderId="19" xfId="0" applyFont="1" applyBorder="1"/>
    <xf numFmtId="2" fontId="52" fillId="0" borderId="20" xfId="0" applyNumberFormat="1" applyFont="1" applyBorder="1" applyAlignment="1">
      <alignment horizontal="center"/>
    </xf>
    <xf numFmtId="2" fontId="47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0" fontId="41" fillId="14" borderId="0" xfId="0" applyFont="1" applyFill="1"/>
    <xf numFmtId="167" fontId="41" fillId="14" borderId="0" xfId="0" applyNumberFormat="1" applyFont="1" applyFill="1"/>
    <xf numFmtId="10" fontId="41" fillId="0" borderId="0" xfId="3" applyNumberFormat="1" applyFont="1" applyBorder="1" applyProtection="1"/>
    <xf numFmtId="0" fontId="54" fillId="0" borderId="0" xfId="0" applyFont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55" fillId="3" borderId="0" xfId="0" applyFont="1" applyFill="1" applyAlignment="1">
      <alignment horizontal="center"/>
    </xf>
    <xf numFmtId="10" fontId="41" fillId="17" borderId="0" xfId="0" applyNumberFormat="1" applyFont="1" applyFill="1" applyAlignment="1">
      <alignment horizontal="center"/>
    </xf>
    <xf numFmtId="10" fontId="25" fillId="17" borderId="0" xfId="0" applyNumberFormat="1" applyFont="1" applyFill="1" applyAlignment="1">
      <alignment horizontal="center"/>
    </xf>
    <xf numFmtId="3" fontId="41" fillId="17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center"/>
    </xf>
    <xf numFmtId="0" fontId="28" fillId="0" borderId="11" xfId="0" applyFont="1" applyBorder="1"/>
    <xf numFmtId="10" fontId="25" fillId="0" borderId="12" xfId="0" applyNumberFormat="1" applyFont="1" applyBorder="1" applyAlignment="1">
      <alignment horizontal="center"/>
    </xf>
    <xf numFmtId="10" fontId="25" fillId="0" borderId="13" xfId="0" applyNumberFormat="1" applyFont="1" applyBorder="1" applyAlignment="1">
      <alignment horizontal="center"/>
    </xf>
    <xf numFmtId="0" fontId="28" fillId="0" borderId="15" xfId="0" applyFont="1" applyBorder="1"/>
    <xf numFmtId="10" fontId="25" fillId="0" borderId="16" xfId="0" applyNumberFormat="1" applyFont="1" applyBorder="1" applyAlignment="1">
      <alignment horizontal="center"/>
    </xf>
    <xf numFmtId="4" fontId="41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4" fontId="25" fillId="0" borderId="16" xfId="0" applyNumberFormat="1" applyFont="1" applyBorder="1" applyAlignment="1">
      <alignment horizontal="center"/>
    </xf>
    <xf numFmtId="0" fontId="28" fillId="0" borderId="18" xfId="0" applyFont="1" applyBorder="1"/>
    <xf numFmtId="10" fontId="25" fillId="0" borderId="19" xfId="0" applyNumberFormat="1" applyFont="1" applyBorder="1" applyAlignment="1">
      <alignment horizontal="center"/>
    </xf>
    <xf numFmtId="10" fontId="25" fillId="0" borderId="20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7" fillId="0" borderId="0" xfId="0" applyFont="1" applyAlignment="1">
      <alignment horizontal="center" vertical="top" wrapText="1"/>
    </xf>
    <xf numFmtId="0" fontId="25" fillId="0" borderId="0" xfId="0" applyFont="1" applyAlignment="1">
      <alignment wrapText="1"/>
    </xf>
    <xf numFmtId="10" fontId="25" fillId="0" borderId="0" xfId="0" applyNumberFormat="1" applyFont="1" applyAlignment="1" applyProtection="1">
      <alignment horizontal="center"/>
      <protection locked="0"/>
    </xf>
    <xf numFmtId="10" fontId="18" fillId="3" borderId="0" xfId="0" applyNumberFormat="1" applyFont="1" applyFill="1" applyAlignment="1" applyProtection="1">
      <alignment horizontal="center"/>
      <protection locked="0"/>
    </xf>
    <xf numFmtId="0" fontId="28" fillId="0" borderId="24" xfId="0" applyFont="1" applyBorder="1" applyProtection="1">
      <protection hidden="1"/>
    </xf>
    <xf numFmtId="10" fontId="28" fillId="0" borderId="24" xfId="0" applyNumberFormat="1" applyFont="1" applyBorder="1" applyAlignment="1" applyProtection="1">
      <alignment horizontal="center"/>
      <protection locked="0"/>
    </xf>
    <xf numFmtId="10" fontId="18" fillId="0" borderId="0" xfId="0" applyNumberFormat="1" applyFont="1" applyProtection="1">
      <protection hidden="1"/>
    </xf>
    <xf numFmtId="0" fontId="25" fillId="0" borderId="0" xfId="6" applyFont="1"/>
    <xf numFmtId="0" fontId="58" fillId="0" borderId="0" xfId="6" applyFont="1"/>
    <xf numFmtId="0" fontId="25" fillId="0" borderId="0" xfId="6" applyFont="1" applyAlignment="1">
      <alignment horizontal="center"/>
    </xf>
    <xf numFmtId="0" fontId="55" fillId="18" borderId="0" xfId="6" applyFont="1" applyFill="1" applyAlignment="1">
      <alignment horizontal="center"/>
    </xf>
    <xf numFmtId="0" fontId="60" fillId="0" borderId="0" xfId="6" applyFont="1" applyAlignment="1">
      <alignment horizontal="center"/>
    </xf>
    <xf numFmtId="167" fontId="25" fillId="0" borderId="0" xfId="6" applyNumberFormat="1" applyFont="1" applyAlignment="1">
      <alignment horizontal="center"/>
    </xf>
    <xf numFmtId="0" fontId="28" fillId="0" borderId="0" xfId="6" applyFont="1" applyAlignment="1">
      <alignment horizontal="center"/>
    </xf>
    <xf numFmtId="10" fontId="48" fillId="13" borderId="0" xfId="6" applyNumberFormat="1" applyFont="1" applyFill="1" applyAlignment="1">
      <alignment horizontal="center"/>
    </xf>
    <xf numFmtId="10" fontId="25" fillId="0" borderId="0" xfId="6" applyNumberFormat="1" applyFont="1"/>
    <xf numFmtId="0" fontId="25" fillId="0" borderId="0" xfId="6" applyFont="1" applyAlignment="1">
      <alignment wrapText="1"/>
    </xf>
    <xf numFmtId="0" fontId="48" fillId="8" borderId="1" xfId="6" applyFont="1" applyFill="1" applyBorder="1" applyAlignment="1">
      <alignment horizontal="center" vertical="top" wrapText="1"/>
    </xf>
    <xf numFmtId="0" fontId="48" fillId="8" borderId="35" xfId="6" applyFont="1" applyFill="1" applyBorder="1" applyAlignment="1">
      <alignment horizontal="center" vertical="top" wrapText="1"/>
    </xf>
    <xf numFmtId="0" fontId="48" fillId="8" borderId="36" xfId="6" applyFont="1" applyFill="1" applyBorder="1" applyAlignment="1">
      <alignment horizontal="center" vertical="top" wrapText="1"/>
    </xf>
    <xf numFmtId="0" fontId="48" fillId="8" borderId="37" xfId="6" applyFont="1" applyFill="1" applyBorder="1" applyAlignment="1">
      <alignment horizontal="center" vertical="top" wrapText="1"/>
    </xf>
    <xf numFmtId="0" fontId="28" fillId="0" borderId="35" xfId="6" applyFont="1" applyBorder="1" applyAlignment="1">
      <alignment horizontal="center" vertical="top" wrapText="1"/>
    </xf>
    <xf numFmtId="0" fontId="28" fillId="0" borderId="36" xfId="6" applyFont="1" applyBorder="1" applyAlignment="1">
      <alignment horizontal="center" vertical="top" wrapText="1"/>
    </xf>
    <xf numFmtId="0" fontId="28" fillId="0" borderId="37" xfId="6" applyFont="1" applyBorder="1" applyAlignment="1">
      <alignment horizontal="center" vertical="top" wrapText="1"/>
    </xf>
    <xf numFmtId="0" fontId="28" fillId="0" borderId="0" xfId="6" applyFont="1"/>
    <xf numFmtId="0" fontId="28" fillId="0" borderId="38" xfId="6" applyFont="1" applyBorder="1" applyAlignment="1">
      <alignment horizontal="center"/>
    </xf>
    <xf numFmtId="0" fontId="28" fillId="0" borderId="25" xfId="6" applyFont="1" applyBorder="1" applyAlignment="1">
      <alignment horizontal="center" vertical="top" wrapText="1"/>
    </xf>
    <xf numFmtId="0" fontId="28" fillId="0" borderId="26" xfId="6" applyFont="1" applyBorder="1" applyAlignment="1">
      <alignment horizontal="center" vertical="top" wrapText="1"/>
    </xf>
    <xf numFmtId="0" fontId="28" fillId="0" borderId="27" xfId="6" applyFont="1" applyBorder="1" applyAlignment="1">
      <alignment horizontal="center" vertical="top" wrapText="1"/>
    </xf>
    <xf numFmtId="167" fontId="25" fillId="0" borderId="25" xfId="6" applyNumberFormat="1" applyFont="1" applyBorder="1" applyAlignment="1">
      <alignment horizontal="center" vertical="top" wrapText="1"/>
    </xf>
    <xf numFmtId="167" fontId="25" fillId="0" borderId="26" xfId="6" applyNumberFormat="1" applyFont="1" applyBorder="1" applyAlignment="1">
      <alignment horizontal="center" vertical="top" wrapText="1"/>
    </xf>
    <xf numFmtId="167" fontId="25" fillId="0" borderId="27" xfId="6" applyNumberFormat="1" applyFont="1" applyBorder="1" applyAlignment="1">
      <alignment horizontal="center" vertical="top" wrapText="1"/>
    </xf>
    <xf numFmtId="0" fontId="25" fillId="0" borderId="10" xfId="6" applyFont="1" applyBorder="1" applyAlignment="1">
      <alignment horizontal="center"/>
    </xf>
    <xf numFmtId="167" fontId="25" fillId="0" borderId="12" xfId="6" applyNumberFormat="1" applyFont="1" applyBorder="1"/>
    <xf numFmtId="167" fontId="25" fillId="0" borderId="13" xfId="6" applyNumberFormat="1" applyFont="1" applyBorder="1"/>
    <xf numFmtId="10" fontId="25" fillId="0" borderId="12" xfId="11" applyNumberFormat="1" applyFont="1" applyBorder="1" applyProtection="1"/>
    <xf numFmtId="10" fontId="25" fillId="0" borderId="13" xfId="11" applyNumberFormat="1" applyFont="1" applyBorder="1" applyProtection="1"/>
    <xf numFmtId="0" fontId="28" fillId="0" borderId="39" xfId="6" applyFont="1" applyBorder="1" applyAlignment="1">
      <alignment horizontal="center"/>
    </xf>
    <xf numFmtId="10" fontId="25" fillId="0" borderId="28" xfId="6" applyNumberFormat="1" applyFont="1" applyBorder="1" applyAlignment="1">
      <alignment horizontal="center"/>
    </xf>
    <xf numFmtId="10" fontId="25" fillId="0" borderId="23" xfId="6" applyNumberFormat="1" applyFont="1" applyBorder="1" applyAlignment="1">
      <alignment horizontal="center"/>
    </xf>
    <xf numFmtId="10" fontId="25" fillId="0" borderId="29" xfId="6" applyNumberFormat="1" applyFont="1" applyBorder="1" applyAlignment="1">
      <alignment horizontal="center"/>
    </xf>
    <xf numFmtId="167" fontId="25" fillId="0" borderId="28" xfId="6" applyNumberFormat="1" applyFont="1" applyBorder="1" applyAlignment="1">
      <alignment horizontal="center" vertical="top" wrapText="1"/>
    </xf>
    <xf numFmtId="167" fontId="25" fillId="0" borderId="23" xfId="6" applyNumberFormat="1" applyFont="1" applyBorder="1" applyAlignment="1">
      <alignment horizontal="center" vertical="top" wrapText="1"/>
    </xf>
    <xf numFmtId="167" fontId="25" fillId="0" borderId="29" xfId="6" applyNumberFormat="1" applyFont="1" applyBorder="1" applyAlignment="1">
      <alignment horizontal="center" vertical="top" wrapText="1"/>
    </xf>
    <xf numFmtId="0" fontId="25" fillId="0" borderId="14" xfId="6" applyFont="1" applyBorder="1" applyAlignment="1">
      <alignment horizontal="center"/>
    </xf>
    <xf numFmtId="167" fontId="25" fillId="0" borderId="0" xfId="6" applyNumberFormat="1" applyFont="1"/>
    <xf numFmtId="167" fontId="25" fillId="0" borderId="16" xfId="6" applyNumberFormat="1" applyFont="1" applyBorder="1"/>
    <xf numFmtId="10" fontId="25" fillId="0" borderId="0" xfId="11" applyNumberFormat="1" applyFont="1" applyBorder="1" applyProtection="1"/>
    <xf numFmtId="10" fontId="25" fillId="0" borderId="16" xfId="11" applyNumberFormat="1" applyFont="1" applyBorder="1" applyProtection="1"/>
    <xf numFmtId="0" fontId="28" fillId="0" borderId="40" xfId="6" applyFont="1" applyBorder="1" applyAlignment="1">
      <alignment horizontal="center"/>
    </xf>
    <xf numFmtId="10" fontId="25" fillId="0" borderId="41" xfId="6" applyNumberFormat="1" applyFont="1" applyBorder="1" applyAlignment="1">
      <alignment horizontal="center"/>
    </xf>
    <xf numFmtId="10" fontId="25" fillId="0" borderId="42" xfId="6" applyNumberFormat="1" applyFont="1" applyBorder="1" applyAlignment="1">
      <alignment horizontal="center"/>
    </xf>
    <xf numFmtId="10" fontId="25" fillId="0" borderId="43" xfId="6" applyNumberFormat="1" applyFont="1" applyBorder="1" applyAlignment="1">
      <alignment horizontal="center"/>
    </xf>
    <xf numFmtId="167" fontId="25" fillId="0" borderId="41" xfId="6" applyNumberFormat="1" applyFont="1" applyBorder="1" applyAlignment="1">
      <alignment horizontal="center" vertical="top" wrapText="1"/>
    </xf>
    <xf numFmtId="167" fontId="25" fillId="0" borderId="42" xfId="6" applyNumberFormat="1" applyFont="1" applyBorder="1" applyAlignment="1">
      <alignment horizontal="center" vertical="top" wrapText="1"/>
    </xf>
    <xf numFmtId="167" fontId="25" fillId="0" borderId="43" xfId="6" applyNumberFormat="1" applyFont="1" applyBorder="1" applyAlignment="1">
      <alignment horizontal="center" vertical="top" wrapText="1"/>
    </xf>
    <xf numFmtId="10" fontId="25" fillId="0" borderId="44" xfId="6" applyNumberFormat="1" applyFont="1" applyBorder="1" applyAlignment="1">
      <alignment horizontal="center"/>
    </xf>
    <xf numFmtId="10" fontId="25" fillId="0" borderId="45" xfId="6" applyNumberFormat="1" applyFont="1" applyBorder="1" applyAlignment="1">
      <alignment horizontal="center"/>
    </xf>
    <xf numFmtId="10" fontId="25" fillId="0" borderId="46" xfId="6" applyNumberFormat="1" applyFont="1" applyBorder="1" applyAlignment="1">
      <alignment horizontal="center"/>
    </xf>
    <xf numFmtId="167" fontId="25" fillId="0" borderId="44" xfId="6" applyNumberFormat="1" applyFont="1" applyBorder="1" applyAlignment="1">
      <alignment horizontal="center" vertical="top" wrapText="1"/>
    </xf>
    <xf numFmtId="167" fontId="25" fillId="0" borderId="45" xfId="6" applyNumberFormat="1" applyFont="1" applyBorder="1" applyAlignment="1">
      <alignment horizontal="center" vertical="top" wrapText="1"/>
    </xf>
    <xf numFmtId="167" fontId="25" fillId="0" borderId="46" xfId="6" applyNumberFormat="1" applyFont="1" applyBorder="1" applyAlignment="1">
      <alignment horizontal="center" vertical="top" wrapText="1"/>
    </xf>
    <xf numFmtId="10" fontId="25" fillId="0" borderId="47" xfId="6" applyNumberFormat="1" applyFont="1" applyBorder="1" applyAlignment="1">
      <alignment horizontal="center"/>
    </xf>
    <xf numFmtId="10" fontId="25" fillId="0" borderId="48" xfId="6" applyNumberFormat="1" applyFont="1" applyBorder="1" applyAlignment="1">
      <alignment horizontal="center"/>
    </xf>
    <xf numFmtId="0" fontId="28" fillId="0" borderId="49" xfId="6" applyFont="1" applyBorder="1" applyAlignment="1">
      <alignment horizontal="center"/>
    </xf>
    <xf numFmtId="10" fontId="25" fillId="0" borderId="30" xfId="6" applyNumberFormat="1" applyFont="1" applyBorder="1" applyAlignment="1">
      <alignment horizontal="center"/>
    </xf>
    <xf numFmtId="10" fontId="25" fillId="0" borderId="31" xfId="6" applyNumberFormat="1" applyFont="1" applyBorder="1" applyAlignment="1">
      <alignment horizontal="center"/>
    </xf>
    <xf numFmtId="10" fontId="25" fillId="0" borderId="32" xfId="6" applyNumberFormat="1" applyFont="1" applyBorder="1" applyAlignment="1">
      <alignment horizontal="center"/>
    </xf>
    <xf numFmtId="167" fontId="25" fillId="0" borderId="30" xfId="6" applyNumberFormat="1" applyFont="1" applyBorder="1" applyAlignment="1">
      <alignment horizontal="center" vertical="top" wrapText="1"/>
    </xf>
    <xf numFmtId="167" fontId="25" fillId="0" borderId="31" xfId="6" applyNumberFormat="1" applyFont="1" applyBorder="1" applyAlignment="1">
      <alignment horizontal="center" vertical="top" wrapText="1"/>
    </xf>
    <xf numFmtId="167" fontId="25" fillId="0" borderId="32" xfId="6" applyNumberFormat="1" applyFont="1" applyBorder="1" applyAlignment="1">
      <alignment horizontal="center" vertical="top" wrapText="1"/>
    </xf>
    <xf numFmtId="0" fontId="25" fillId="0" borderId="17" xfId="6" applyFont="1" applyBorder="1" applyAlignment="1">
      <alignment horizontal="center"/>
    </xf>
    <xf numFmtId="167" fontId="25" fillId="0" borderId="19" xfId="6" applyNumberFormat="1" applyFont="1" applyBorder="1"/>
    <xf numFmtId="167" fontId="25" fillId="0" borderId="20" xfId="6" applyNumberFormat="1" applyFont="1" applyBorder="1"/>
    <xf numFmtId="10" fontId="25" fillId="0" borderId="18" xfId="11" applyNumberFormat="1" applyFont="1" applyBorder="1" applyProtection="1"/>
    <xf numFmtId="10" fontId="25" fillId="0" borderId="19" xfId="11" applyNumberFormat="1" applyFont="1" applyBorder="1" applyProtection="1"/>
    <xf numFmtId="10" fontId="25" fillId="0" borderId="20" xfId="11" applyNumberFormat="1" applyFont="1" applyBorder="1" applyProtection="1"/>
    <xf numFmtId="10" fontId="25" fillId="0" borderId="0" xfId="6" applyNumberFormat="1" applyFont="1" applyAlignment="1">
      <alignment horizontal="center"/>
    </xf>
    <xf numFmtId="175" fontId="25" fillId="0" borderId="0" xfId="6" applyNumberFormat="1" applyFont="1"/>
    <xf numFmtId="167" fontId="25" fillId="0" borderId="0" xfId="6" applyNumberFormat="1" applyFont="1" applyAlignment="1">
      <alignment horizontal="center" vertical="top" wrapText="1"/>
    </xf>
    <xf numFmtId="0" fontId="48" fillId="8" borderId="1" xfId="6" applyFont="1" applyFill="1" applyBorder="1" applyAlignment="1">
      <alignment horizontal="center" vertical="top"/>
    </xf>
    <xf numFmtId="0" fontId="48" fillId="8" borderId="50" xfId="6" applyFont="1" applyFill="1" applyBorder="1" applyAlignment="1">
      <alignment horizontal="center" vertical="top" wrapText="1"/>
    </xf>
    <xf numFmtId="0" fontId="28" fillId="0" borderId="38" xfId="6" applyFont="1" applyBorder="1"/>
    <xf numFmtId="10" fontId="25" fillId="0" borderId="51" xfId="6" applyNumberFormat="1" applyFont="1" applyBorder="1" applyAlignment="1">
      <alignment horizontal="center"/>
    </xf>
    <xf numFmtId="0" fontId="25" fillId="0" borderId="52" xfId="6" applyFont="1" applyBorder="1" applyAlignment="1">
      <alignment horizontal="center"/>
    </xf>
    <xf numFmtId="10" fontId="25" fillId="0" borderId="25" xfId="6" applyNumberFormat="1" applyFont="1" applyBorder="1" applyAlignment="1">
      <alignment horizontal="center"/>
    </xf>
    <xf numFmtId="10" fontId="25" fillId="0" borderId="27" xfId="6" applyNumberFormat="1" applyFont="1" applyBorder="1" applyAlignment="1">
      <alignment horizontal="center"/>
    </xf>
    <xf numFmtId="0" fontId="28" fillId="0" borderId="39" xfId="6" applyFont="1" applyBorder="1"/>
    <xf numFmtId="10" fontId="25" fillId="0" borderId="53" xfId="6" applyNumberFormat="1" applyFont="1" applyBorder="1" applyAlignment="1">
      <alignment horizontal="center"/>
    </xf>
    <xf numFmtId="0" fontId="25" fillId="0" borderId="39" xfId="6" applyFont="1" applyBorder="1" applyAlignment="1">
      <alignment horizontal="center"/>
    </xf>
    <xf numFmtId="10" fontId="25" fillId="0" borderId="54" xfId="6" applyNumberFormat="1" applyFont="1" applyBorder="1" applyAlignment="1">
      <alignment horizontal="center"/>
    </xf>
    <xf numFmtId="0" fontId="28" fillId="0" borderId="49" xfId="6" applyFont="1" applyBorder="1"/>
    <xf numFmtId="10" fontId="25" fillId="0" borderId="55" xfId="6" applyNumberFormat="1" applyFont="1" applyBorder="1" applyAlignment="1">
      <alignment horizontal="center"/>
    </xf>
    <xf numFmtId="0" fontId="25" fillId="0" borderId="49" xfId="6" applyFont="1" applyBorder="1" applyAlignment="1">
      <alignment horizontal="center"/>
    </xf>
    <xf numFmtId="10" fontId="25" fillId="0" borderId="56" xfId="6" applyNumberFormat="1" applyFont="1" applyBorder="1" applyAlignment="1">
      <alignment horizontal="center"/>
    </xf>
    <xf numFmtId="10" fontId="25" fillId="0" borderId="51" xfId="11" applyNumberFormat="1" applyFont="1" applyBorder="1" applyAlignment="1" applyProtection="1">
      <alignment horizontal="center"/>
    </xf>
    <xf numFmtId="0" fontId="25" fillId="0" borderId="38" xfId="6" applyFont="1" applyBorder="1" applyAlignment="1">
      <alignment horizontal="center"/>
    </xf>
    <xf numFmtId="10" fontId="25" fillId="0" borderId="53" xfId="11" applyNumberFormat="1" applyFont="1" applyBorder="1" applyAlignment="1" applyProtection="1">
      <alignment horizontal="center"/>
    </xf>
    <xf numFmtId="10" fontId="54" fillId="8" borderId="53" xfId="11" applyNumberFormat="1" applyFont="1" applyFill="1" applyBorder="1" applyAlignment="1" applyProtection="1">
      <alignment horizontal="center"/>
    </xf>
    <xf numFmtId="10" fontId="54" fillId="8" borderId="29" xfId="6" applyNumberFormat="1" applyFont="1" applyFill="1" applyBorder="1" applyAlignment="1">
      <alignment horizontal="center"/>
    </xf>
    <xf numFmtId="10" fontId="25" fillId="0" borderId="55" xfId="11" applyNumberFormat="1" applyFont="1" applyBorder="1" applyAlignment="1" applyProtection="1">
      <alignment horizontal="center"/>
    </xf>
    <xf numFmtId="0" fontId="28" fillId="0" borderId="35" xfId="6" applyFont="1" applyBorder="1" applyAlignment="1">
      <alignment horizontal="center"/>
    </xf>
    <xf numFmtId="0" fontId="28" fillId="0" borderId="36" xfId="6" applyFont="1" applyBorder="1" applyAlignment="1">
      <alignment horizontal="center"/>
    </xf>
    <xf numFmtId="0" fontId="28" fillId="0" borderId="37" xfId="6" applyFont="1" applyBorder="1" applyAlignment="1">
      <alignment horizontal="center"/>
    </xf>
    <xf numFmtId="0" fontId="25" fillId="0" borderId="25" xfId="6" applyFont="1" applyBorder="1" applyAlignment="1">
      <alignment horizontal="center"/>
    </xf>
    <xf numFmtId="10" fontId="25" fillId="0" borderId="26" xfId="11" applyNumberFormat="1" applyFont="1" applyBorder="1" applyAlignment="1" applyProtection="1">
      <alignment horizontal="center"/>
    </xf>
    <xf numFmtId="10" fontId="25" fillId="0" borderId="27" xfId="11" applyNumberFormat="1" applyFont="1" applyBorder="1" applyAlignment="1" applyProtection="1">
      <alignment horizontal="center"/>
    </xf>
    <xf numFmtId="0" fontId="25" fillId="0" borderId="28" xfId="6" applyFont="1" applyBorder="1" applyAlignment="1">
      <alignment horizontal="center"/>
    </xf>
    <xf numFmtId="10" fontId="25" fillId="0" borderId="23" xfId="11" applyNumberFormat="1" applyFont="1" applyBorder="1" applyAlignment="1" applyProtection="1">
      <alignment horizontal="center"/>
    </xf>
    <xf numFmtId="10" fontId="25" fillId="0" borderId="29" xfId="11" applyNumberFormat="1" applyFont="1" applyBorder="1" applyAlignment="1" applyProtection="1">
      <alignment horizontal="center"/>
    </xf>
    <xf numFmtId="0" fontId="25" fillId="0" borderId="30" xfId="6" applyFont="1" applyBorder="1" applyAlignment="1">
      <alignment horizontal="center"/>
    </xf>
    <xf numFmtId="10" fontId="25" fillId="0" borderId="31" xfId="11" applyNumberFormat="1" applyFont="1" applyBorder="1" applyAlignment="1" applyProtection="1">
      <alignment horizontal="center"/>
    </xf>
    <xf numFmtId="10" fontId="25" fillId="0" borderId="32" xfId="11" applyNumberFormat="1" applyFont="1" applyBorder="1" applyAlignment="1" applyProtection="1">
      <alignment horizontal="center"/>
    </xf>
    <xf numFmtId="0" fontId="28" fillId="7" borderId="57" xfId="6" applyFont="1" applyFill="1" applyBorder="1" applyAlignment="1">
      <alignment horizontal="center" vertical="top"/>
    </xf>
    <xf numFmtId="0" fontId="28" fillId="7" borderId="58" xfId="6" applyFont="1" applyFill="1" applyBorder="1" applyAlignment="1">
      <alignment horizontal="center" vertical="top"/>
    </xf>
    <xf numFmtId="0" fontId="28" fillId="7" borderId="59" xfId="6" applyFont="1" applyFill="1" applyBorder="1" applyAlignment="1">
      <alignment horizontal="center" vertical="top" wrapText="1"/>
    </xf>
    <xf numFmtId="0" fontId="25" fillId="7" borderId="60" xfId="6" applyFont="1" applyFill="1" applyBorder="1"/>
    <xf numFmtId="10" fontId="25" fillId="7" borderId="0" xfId="6" applyNumberFormat="1" applyFont="1" applyFill="1"/>
    <xf numFmtId="10" fontId="25" fillId="7" borderId="61" xfId="6" applyNumberFormat="1" applyFont="1" applyFill="1" applyBorder="1"/>
    <xf numFmtId="0" fontId="28" fillId="7" borderId="62" xfId="6" applyFont="1" applyFill="1" applyBorder="1"/>
    <xf numFmtId="10" fontId="28" fillId="7" borderId="21" xfId="6" applyNumberFormat="1" applyFont="1" applyFill="1" applyBorder="1"/>
    <xf numFmtId="10" fontId="28" fillId="7" borderId="63" xfId="6" applyNumberFormat="1" applyFont="1" applyFill="1" applyBorder="1"/>
    <xf numFmtId="0" fontId="48" fillId="10" borderId="23" xfId="6" applyFont="1" applyFill="1" applyBorder="1" applyAlignment="1">
      <alignment horizontal="center"/>
    </xf>
    <xf numFmtId="10" fontId="28" fillId="0" borderId="64" xfId="11" applyNumberFormat="1" applyFont="1" applyBorder="1" applyAlignment="1" applyProtection="1">
      <alignment horizontal="center"/>
    </xf>
    <xf numFmtId="0" fontId="28" fillId="16" borderId="23" xfId="6" applyFont="1" applyFill="1" applyBorder="1" applyAlignment="1">
      <alignment horizontal="center"/>
    </xf>
    <xf numFmtId="10" fontId="28" fillId="16" borderId="23" xfId="6" applyNumberFormat="1" applyFont="1" applyFill="1" applyBorder="1" applyAlignment="1">
      <alignment horizontal="center"/>
    </xf>
    <xf numFmtId="10" fontId="28" fillId="6" borderId="23" xfId="6" applyNumberFormat="1" applyFont="1" applyFill="1" applyBorder="1" applyAlignment="1">
      <alignment horizontal="center"/>
    </xf>
    <xf numFmtId="0" fontId="54" fillId="0" borderId="0" xfId="6" applyFont="1"/>
    <xf numFmtId="10" fontId="25" fillId="0" borderId="65" xfId="11" applyNumberFormat="1" applyFont="1" applyBorder="1" applyAlignment="1" applyProtection="1">
      <alignment horizontal="center"/>
    </xf>
    <xf numFmtId="0" fontId="25" fillId="0" borderId="57" xfId="6" applyFont="1" applyBorder="1"/>
    <xf numFmtId="0" fontId="28" fillId="0" borderId="58" xfId="6" applyFont="1" applyBorder="1" applyAlignment="1">
      <alignment horizontal="center"/>
    </xf>
    <xf numFmtId="0" fontId="28" fillId="0" borderId="59" xfId="6" applyFont="1" applyBorder="1" applyAlignment="1">
      <alignment horizontal="center"/>
    </xf>
    <xf numFmtId="0" fontId="25" fillId="0" borderId="60" xfId="6" applyFont="1" applyBorder="1" applyAlignment="1">
      <alignment horizontal="left"/>
    </xf>
    <xf numFmtId="10" fontId="25" fillId="0" borderId="0" xfId="11" applyNumberFormat="1" applyFont="1" applyBorder="1" applyAlignment="1" applyProtection="1">
      <alignment horizontal="center"/>
    </xf>
    <xf numFmtId="10" fontId="25" fillId="0" borderId="61" xfId="11" applyNumberFormat="1" applyFont="1" applyBorder="1" applyAlignment="1" applyProtection="1">
      <alignment horizontal="center"/>
    </xf>
    <xf numFmtId="168" fontId="25" fillId="0" borderId="0" xfId="6" applyNumberFormat="1" applyFont="1" applyAlignment="1">
      <alignment horizontal="center"/>
    </xf>
    <xf numFmtId="10" fontId="25" fillId="0" borderId="66" xfId="11" applyNumberFormat="1" applyFont="1" applyBorder="1" applyAlignment="1" applyProtection="1">
      <alignment horizontal="center"/>
    </xf>
    <xf numFmtId="0" fontId="48" fillId="11" borderId="23" xfId="6" applyFont="1" applyFill="1" applyBorder="1"/>
    <xf numFmtId="10" fontId="48" fillId="11" borderId="23" xfId="6" applyNumberFormat="1" applyFont="1" applyFill="1" applyBorder="1" applyAlignment="1">
      <alignment horizontal="center"/>
    </xf>
    <xf numFmtId="10" fontId="48" fillId="11" borderId="34" xfId="6" applyNumberFormat="1" applyFont="1" applyFill="1" applyBorder="1" applyAlignment="1">
      <alignment horizontal="center"/>
    </xf>
    <xf numFmtId="10" fontId="28" fillId="0" borderId="0" xfId="6" applyNumberFormat="1" applyFont="1"/>
    <xf numFmtId="168" fontId="28" fillId="0" borderId="0" xfId="6" applyNumberFormat="1" applyFont="1" applyAlignment="1">
      <alignment horizontal="center"/>
    </xf>
    <xf numFmtId="171" fontId="25" fillId="0" borderId="0" xfId="6" applyNumberFormat="1" applyFont="1" applyAlignment="1">
      <alignment horizontal="center"/>
    </xf>
    <xf numFmtId="171" fontId="25" fillId="0" borderId="61" xfId="6" applyNumberFormat="1" applyFont="1" applyBorder="1" applyAlignment="1">
      <alignment horizontal="center"/>
    </xf>
    <xf numFmtId="0" fontId="48" fillId="11" borderId="67" xfId="6" applyFont="1" applyFill="1" applyBorder="1" applyAlignment="1">
      <alignment horizontal="left"/>
    </xf>
    <xf numFmtId="10" fontId="48" fillId="11" borderId="22" xfId="6" applyNumberFormat="1" applyFont="1" applyFill="1" applyBorder="1" applyAlignment="1">
      <alignment horizontal="center"/>
    </xf>
    <xf numFmtId="10" fontId="48" fillId="11" borderId="68" xfId="6" applyNumberFormat="1" applyFont="1" applyFill="1" applyBorder="1" applyAlignment="1">
      <alignment horizontal="center"/>
    </xf>
    <xf numFmtId="0" fontId="48" fillId="20" borderId="67" xfId="6" applyFont="1" applyFill="1" applyBorder="1" applyAlignment="1">
      <alignment horizontal="left"/>
    </xf>
    <xf numFmtId="10" fontId="48" fillId="20" borderId="22" xfId="11" applyNumberFormat="1" applyFont="1" applyFill="1" applyBorder="1" applyAlignment="1" applyProtection="1">
      <alignment horizontal="center"/>
    </xf>
    <xf numFmtId="10" fontId="48" fillId="20" borderId="68" xfId="11" applyNumberFormat="1" applyFont="1" applyFill="1" applyBorder="1" applyAlignment="1" applyProtection="1">
      <alignment horizontal="center"/>
    </xf>
    <xf numFmtId="0" fontId="48" fillId="21" borderId="67" xfId="6" applyFont="1" applyFill="1" applyBorder="1" applyAlignment="1">
      <alignment horizontal="left"/>
    </xf>
    <xf numFmtId="10" fontId="48" fillId="21" borderId="22" xfId="6" applyNumberFormat="1" applyFont="1" applyFill="1" applyBorder="1" applyAlignment="1">
      <alignment horizontal="center"/>
    </xf>
    <xf numFmtId="10" fontId="48" fillId="21" borderId="68" xfId="6" applyNumberFormat="1" applyFont="1" applyFill="1" applyBorder="1" applyAlignment="1">
      <alignment horizontal="center"/>
    </xf>
    <xf numFmtId="0" fontId="28" fillId="0" borderId="60" xfId="6" applyFont="1" applyBorder="1"/>
    <xf numFmtId="176" fontId="25" fillId="0" borderId="0" xfId="5" applyNumberFormat="1" applyFont="1" applyBorder="1" applyAlignment="1" applyProtection="1">
      <alignment horizontal="center"/>
    </xf>
    <xf numFmtId="176" fontId="25" fillId="0" borderId="0" xfId="6" applyNumberFormat="1" applyFont="1" applyAlignment="1">
      <alignment horizontal="center"/>
    </xf>
    <xf numFmtId="176" fontId="25" fillId="0" borderId="61" xfId="6" applyNumberFormat="1" applyFont="1" applyBorder="1" applyAlignment="1">
      <alignment horizontal="center"/>
    </xf>
    <xf numFmtId="0" fontId="28" fillId="22" borderId="60" xfId="6" applyFont="1" applyFill="1" applyBorder="1" applyAlignment="1">
      <alignment horizontal="center"/>
    </xf>
    <xf numFmtId="0" fontId="25" fillId="0" borderId="61" xfId="6" applyFont="1" applyBorder="1" applyAlignment="1">
      <alignment horizontal="center"/>
    </xf>
    <xf numFmtId="0" fontId="25" fillId="0" borderId="60" xfId="6" applyFont="1" applyBorder="1"/>
    <xf numFmtId="10" fontId="25" fillId="0" borderId="61" xfId="6" applyNumberFormat="1" applyFont="1" applyBorder="1" applyAlignment="1">
      <alignment horizontal="center"/>
    </xf>
    <xf numFmtId="0" fontId="25" fillId="0" borderId="61" xfId="6" applyFont="1" applyBorder="1"/>
    <xf numFmtId="0" fontId="25" fillId="0" borderId="62" xfId="6" applyFont="1" applyBorder="1"/>
    <xf numFmtId="10" fontId="25" fillId="0" borderId="21" xfId="6" applyNumberFormat="1" applyFont="1" applyBorder="1" applyAlignment="1">
      <alignment horizontal="center"/>
    </xf>
    <xf numFmtId="10" fontId="25" fillId="0" borderId="63" xfId="6" applyNumberFormat="1" applyFont="1" applyBorder="1" applyAlignment="1">
      <alignment horizontal="center"/>
    </xf>
    <xf numFmtId="0" fontId="25" fillId="0" borderId="0" xfId="7" applyFont="1"/>
    <xf numFmtId="0" fontId="64" fillId="0" borderId="0" xfId="0" applyFont="1" applyAlignment="1">
      <alignment horizontal="center" vertical="center" wrapText="1"/>
    </xf>
    <xf numFmtId="177" fontId="65" fillId="0" borderId="0" xfId="0" applyNumberFormat="1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177" fontId="65" fillId="0" borderId="69" xfId="0" applyNumberFormat="1" applyFont="1" applyBorder="1" applyAlignment="1">
      <alignment horizontal="center" vertical="center" wrapText="1"/>
    </xf>
    <xf numFmtId="0" fontId="65" fillId="0" borderId="69" xfId="0" applyFont="1" applyBorder="1" applyAlignment="1">
      <alignment horizontal="center" vertical="center" wrapText="1"/>
    </xf>
    <xf numFmtId="177" fontId="65" fillId="0" borderId="70" xfId="0" applyNumberFormat="1" applyFont="1" applyBorder="1" applyAlignment="1">
      <alignment horizontal="center" vertical="center" wrapText="1"/>
    </xf>
    <xf numFmtId="0" fontId="65" fillId="0" borderId="70" xfId="0" applyFont="1" applyBorder="1" applyAlignment="1">
      <alignment horizontal="center" vertical="center" wrapText="1"/>
    </xf>
    <xf numFmtId="0" fontId="28" fillId="0" borderId="22" xfId="6" applyFont="1" applyBorder="1" applyAlignment="1">
      <alignment horizontal="center"/>
    </xf>
    <xf numFmtId="2" fontId="28" fillId="0" borderId="22" xfId="6" applyNumberFormat="1" applyFont="1" applyBorder="1" applyAlignment="1">
      <alignment horizontal="center"/>
    </xf>
    <xf numFmtId="0" fontId="66" fillId="8" borderId="23" xfId="0" applyFont="1" applyFill="1" applyBorder="1" applyAlignment="1">
      <alignment horizontal="center" vertical="top" wrapText="1"/>
    </xf>
    <xf numFmtId="2" fontId="66" fillId="8" borderId="23" xfId="0" applyNumberFormat="1" applyFont="1" applyFill="1" applyBorder="1" applyAlignment="1">
      <alignment horizontal="center" vertical="top" wrapText="1"/>
    </xf>
    <xf numFmtId="10" fontId="66" fillId="8" borderId="23" xfId="11" applyNumberFormat="1" applyFont="1" applyFill="1" applyBorder="1" applyAlignment="1" applyProtection="1">
      <alignment horizontal="center" vertical="top" wrapText="1"/>
    </xf>
    <xf numFmtId="0" fontId="66" fillId="8" borderId="48" xfId="0" applyFont="1" applyFill="1" applyBorder="1" applyAlignment="1">
      <alignment horizontal="center" vertical="top" wrapText="1"/>
    </xf>
    <xf numFmtId="2" fontId="66" fillId="8" borderId="48" xfId="0" applyNumberFormat="1" applyFont="1" applyFill="1" applyBorder="1" applyAlignment="1">
      <alignment horizontal="center" vertical="top" wrapText="1"/>
    </xf>
    <xf numFmtId="0" fontId="41" fillId="0" borderId="23" xfId="0" applyFont="1" applyBorder="1"/>
    <xf numFmtId="0" fontId="41" fillId="0" borderId="23" xfId="0" applyFont="1" applyBorder="1" applyAlignment="1">
      <alignment horizontal="center"/>
    </xf>
    <xf numFmtId="2" fontId="41" fillId="0" borderId="23" xfId="0" applyNumberFormat="1" applyFont="1" applyBorder="1" applyAlignment="1">
      <alignment horizontal="center"/>
    </xf>
    <xf numFmtId="10" fontId="41" fillId="0" borderId="23" xfId="0" applyNumberFormat="1" applyFont="1" applyBorder="1" applyAlignment="1">
      <alignment horizontal="center"/>
    </xf>
    <xf numFmtId="171" fontId="41" fillId="0" borderId="23" xfId="0" applyNumberFormat="1" applyFont="1" applyBorder="1" applyAlignment="1">
      <alignment horizontal="center"/>
    </xf>
    <xf numFmtId="171" fontId="41" fillId="7" borderId="23" xfId="0" applyNumberFormat="1" applyFont="1" applyFill="1" applyBorder="1" applyAlignment="1">
      <alignment horizontal="center"/>
    </xf>
    <xf numFmtId="10" fontId="41" fillId="0" borderId="23" xfId="11" applyNumberFormat="1" applyFont="1" applyBorder="1" applyAlignment="1" applyProtection="1">
      <alignment horizontal="center"/>
    </xf>
    <xf numFmtId="10" fontId="41" fillId="0" borderId="0" xfId="0" applyNumberFormat="1" applyFont="1"/>
    <xf numFmtId="179" fontId="41" fillId="0" borderId="0" xfId="1" applyNumberFormat="1" applyFont="1" applyBorder="1" applyProtection="1"/>
    <xf numFmtId="180" fontId="41" fillId="0" borderId="0" xfId="0" applyNumberFormat="1" applyFont="1"/>
    <xf numFmtId="0" fontId="48" fillId="8" borderId="23" xfId="0" applyFont="1" applyFill="1" applyBorder="1"/>
    <xf numFmtId="0" fontId="48" fillId="8" borderId="23" xfId="0" applyFont="1" applyFill="1" applyBorder="1" applyAlignment="1">
      <alignment horizontal="center"/>
    </xf>
    <xf numFmtId="2" fontId="48" fillId="8" borderId="23" xfId="0" applyNumberFormat="1" applyFont="1" applyFill="1" applyBorder="1" applyAlignment="1">
      <alignment horizontal="center"/>
    </xf>
    <xf numFmtId="10" fontId="48" fillId="8" borderId="23" xfId="0" applyNumberFormat="1" applyFont="1" applyFill="1" applyBorder="1" applyAlignment="1">
      <alignment horizontal="center"/>
    </xf>
    <xf numFmtId="171" fontId="48" fillId="8" borderId="23" xfId="0" applyNumberFormat="1" applyFont="1" applyFill="1" applyBorder="1" applyAlignment="1">
      <alignment horizontal="center"/>
    </xf>
    <xf numFmtId="10" fontId="48" fillId="8" borderId="23" xfId="11" applyNumberFormat="1" applyFont="1" applyFill="1" applyBorder="1" applyAlignment="1" applyProtection="1">
      <alignment horizontal="center"/>
    </xf>
    <xf numFmtId="0" fontId="25" fillId="0" borderId="23" xfId="0" applyFont="1" applyBorder="1"/>
    <xf numFmtId="0" fontId="25" fillId="0" borderId="23" xfId="0" applyFont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10" fontId="25" fillId="0" borderId="23" xfId="0" applyNumberFormat="1" applyFont="1" applyBorder="1" applyAlignment="1">
      <alignment horizontal="center"/>
    </xf>
    <xf numFmtId="171" fontId="25" fillId="0" borderId="23" xfId="0" applyNumberFormat="1" applyFont="1" applyBorder="1" applyAlignment="1">
      <alignment horizontal="center"/>
    </xf>
    <xf numFmtId="171" fontId="25" fillId="7" borderId="23" xfId="0" applyNumberFormat="1" applyFont="1" applyFill="1" applyBorder="1" applyAlignment="1">
      <alignment horizontal="center"/>
    </xf>
    <xf numFmtId="0" fontId="48" fillId="9" borderId="23" xfId="0" applyFont="1" applyFill="1" applyBorder="1"/>
    <xf numFmtId="0" fontId="48" fillId="9" borderId="23" xfId="0" applyFont="1" applyFill="1" applyBorder="1" applyAlignment="1">
      <alignment horizontal="center"/>
    </xf>
    <xf numFmtId="2" fontId="48" fillId="9" borderId="23" xfId="0" applyNumberFormat="1" applyFont="1" applyFill="1" applyBorder="1" applyAlignment="1">
      <alignment horizontal="center"/>
    </xf>
    <xf numFmtId="10" fontId="48" fillId="9" borderId="23" xfId="0" applyNumberFormat="1" applyFont="1" applyFill="1" applyBorder="1" applyAlignment="1">
      <alignment horizontal="center"/>
    </xf>
    <xf numFmtId="171" fontId="48" fillId="9" borderId="23" xfId="0" applyNumberFormat="1" applyFont="1" applyFill="1" applyBorder="1" applyAlignment="1">
      <alignment horizontal="center"/>
    </xf>
    <xf numFmtId="10" fontId="48" fillId="9" borderId="23" xfId="11" applyNumberFormat="1" applyFont="1" applyFill="1" applyBorder="1" applyAlignment="1" applyProtection="1">
      <alignment horizontal="center"/>
    </xf>
    <xf numFmtId="0" fontId="67" fillId="0" borderId="0" xfId="8" applyFont="1"/>
    <xf numFmtId="0" fontId="68" fillId="0" borderId="0" xfId="8" applyFont="1"/>
    <xf numFmtId="0" fontId="63" fillId="0" borderId="0" xfId="4" applyBorder="1" applyProtection="1"/>
    <xf numFmtId="17" fontId="68" fillId="0" borderId="0" xfId="8" applyNumberFormat="1" applyFont="1"/>
    <xf numFmtId="0" fontId="25" fillId="0" borderId="0" xfId="9" applyFont="1"/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3" fontId="48" fillId="8" borderId="30" xfId="0" applyNumberFormat="1" applyFont="1" applyFill="1" applyBorder="1" applyAlignment="1">
      <alignment horizontal="center"/>
    </xf>
    <xf numFmtId="1" fontId="48" fillId="8" borderId="3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5" xfId="9" applyFont="1" applyBorder="1"/>
    <xf numFmtId="1" fontId="41" fillId="0" borderId="6" xfId="0" applyNumberFormat="1" applyFont="1" applyBorder="1" applyAlignment="1">
      <alignment horizontal="center"/>
    </xf>
    <xf numFmtId="0" fontId="25" fillId="0" borderId="5" xfId="9" applyFont="1" applyBorder="1"/>
    <xf numFmtId="0" fontId="25" fillId="0" borderId="2" xfId="9" applyFont="1" applyBorder="1"/>
    <xf numFmtId="1" fontId="41" fillId="0" borderId="4" xfId="0" applyNumberFormat="1" applyFont="1" applyBorder="1" applyAlignment="1">
      <alignment horizontal="center"/>
    </xf>
    <xf numFmtId="0" fontId="27" fillId="0" borderId="7" xfId="9" applyFont="1" applyBorder="1"/>
    <xf numFmtId="0" fontId="41" fillId="0" borderId="9" xfId="0" applyFont="1" applyBorder="1" applyAlignment="1">
      <alignment horizontal="center"/>
    </xf>
    <xf numFmtId="0" fontId="25" fillId="0" borderId="7" xfId="9" applyFont="1" applyBorder="1"/>
    <xf numFmtId="0" fontId="48" fillId="9" borderId="23" xfId="9" applyFont="1" applyFill="1" applyBorder="1" applyAlignment="1">
      <alignment horizontal="center"/>
    </xf>
    <xf numFmtId="15" fontId="25" fillId="0" borderId="23" xfId="10" applyNumberFormat="1" applyFont="1" applyBorder="1"/>
    <xf numFmtId="0" fontId="25" fillId="0" borderId="23" xfId="10" applyFont="1" applyBorder="1" applyAlignment="1">
      <alignment horizontal="center"/>
    </xf>
    <xf numFmtId="1" fontId="25" fillId="0" borderId="23" xfId="10" applyNumberFormat="1" applyFont="1" applyBorder="1" applyAlignment="1">
      <alignment horizontal="center"/>
    </xf>
    <xf numFmtId="1" fontId="41" fillId="0" borderId="23" xfId="0" applyNumberFormat="1" applyFont="1" applyBorder="1" applyAlignment="1">
      <alignment horizontal="center"/>
    </xf>
    <xf numFmtId="15" fontId="41" fillId="0" borderId="0" xfId="0" applyNumberFormat="1" applyFont="1"/>
    <xf numFmtId="15" fontId="25" fillId="0" borderId="0" xfId="10" applyNumberFormat="1" applyFont="1"/>
    <xf numFmtId="1" fontId="41" fillId="0" borderId="0" xfId="0" applyNumberFormat="1" applyFont="1" applyAlignment="1">
      <alignment horizontal="center"/>
    </xf>
    <xf numFmtId="15" fontId="25" fillId="0" borderId="53" xfId="10" applyNumberFormat="1" applyFont="1" applyBorder="1"/>
    <xf numFmtId="0" fontId="25" fillId="0" borderId="0" xfId="10" applyFont="1" applyAlignment="1">
      <alignment horizontal="center"/>
    </xf>
    <xf numFmtId="1" fontId="25" fillId="0" borderId="0" xfId="10" applyNumberFormat="1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67" fontId="41" fillId="6" borderId="0" xfId="0" applyNumberFormat="1" applyFont="1" applyFill="1"/>
    <xf numFmtId="2" fontId="0" fillId="0" borderId="0" xfId="0" applyNumberFormat="1"/>
    <xf numFmtId="0" fontId="69" fillId="0" borderId="0" xfId="0" applyFont="1"/>
    <xf numFmtId="0" fontId="69" fillId="0" borderId="0" xfId="0" applyFont="1" applyAlignment="1">
      <alignment horizontal="center"/>
    </xf>
    <xf numFmtId="171" fontId="0" fillId="0" borderId="0" xfId="0" applyNumberFormat="1"/>
    <xf numFmtId="182" fontId="5" fillId="0" borderId="23" xfId="2" applyNumberFormat="1" applyFont="1" applyBorder="1" applyProtection="1"/>
    <xf numFmtId="183" fontId="5" fillId="0" borderId="23" xfId="0" applyNumberFormat="1" applyFont="1" applyBorder="1"/>
    <xf numFmtId="9" fontId="5" fillId="0" borderId="23" xfId="3" applyFont="1" applyBorder="1" applyProtection="1"/>
    <xf numFmtId="9" fontId="5" fillId="0" borderId="0" xfId="3" applyFont="1" applyBorder="1" applyProtection="1"/>
    <xf numFmtId="2" fontId="5" fillId="0" borderId="0" xfId="3" applyNumberFormat="1" applyFont="1" applyBorder="1" applyProtection="1"/>
    <xf numFmtId="0" fontId="5" fillId="0" borderId="0" xfId="3" applyNumberFormat="1" applyFont="1" applyBorder="1" applyProtection="1"/>
    <xf numFmtId="10" fontId="71" fillId="0" borderId="0" xfId="3" applyNumberFormat="1" applyBorder="1" applyAlignment="1" applyProtection="1">
      <alignment horizontal="center"/>
    </xf>
    <xf numFmtId="2" fontId="0" fillId="0" borderId="0" xfId="0" applyNumberFormat="1" applyAlignment="1">
      <alignment horizontal="center"/>
    </xf>
    <xf numFmtId="0" fontId="28" fillId="0" borderId="0" xfId="6" applyFont="1" applyAlignment="1">
      <alignment horizontal="center"/>
    </xf>
    <xf numFmtId="0" fontId="28" fillId="19" borderId="10" xfId="6" applyFont="1" applyFill="1" applyBorder="1" applyAlignment="1">
      <alignment horizontal="center" wrapText="1"/>
    </xf>
    <xf numFmtId="0" fontId="61" fillId="0" borderId="1" xfId="6" applyFont="1" applyBorder="1" applyAlignment="1">
      <alignment horizontal="center"/>
    </xf>
    <xf numFmtId="0" fontId="48" fillId="8" borderId="1" xfId="6" applyFont="1" applyFill="1" applyBorder="1" applyAlignment="1">
      <alignment horizontal="center" vertical="top"/>
    </xf>
    <xf numFmtId="0" fontId="62" fillId="0" borderId="0" xfId="4" applyFont="1" applyBorder="1" applyAlignment="1" applyProtection="1">
      <alignment horizontal="center"/>
    </xf>
    <xf numFmtId="0" fontId="28" fillId="0" borderId="34" xfId="6" applyFont="1" applyBorder="1" applyAlignment="1">
      <alignment horizontal="center"/>
    </xf>
    <xf numFmtId="0" fontId="48" fillId="11" borderId="65" xfId="6" applyFont="1" applyFill="1" applyBorder="1" applyAlignment="1">
      <alignment horizontal="center"/>
    </xf>
    <xf numFmtId="0" fontId="48" fillId="20" borderId="65" xfId="6" applyFont="1" applyFill="1" applyBorder="1" applyAlignment="1">
      <alignment horizontal="center"/>
    </xf>
    <xf numFmtId="0" fontId="18" fillId="0" borderId="0" xfId="6" applyFont="1" applyAlignment="1">
      <alignment horizontal="center"/>
    </xf>
    <xf numFmtId="0" fontId="48" fillId="8" borderId="38" xfId="0" applyFont="1" applyFill="1" applyBorder="1" applyAlignment="1">
      <alignment horizontal="center"/>
    </xf>
    <xf numFmtId="0" fontId="48" fillId="8" borderId="36" xfId="0" applyFont="1" applyFill="1" applyBorder="1" applyAlignment="1">
      <alignment horizontal="center"/>
    </xf>
    <xf numFmtId="0" fontId="48" fillId="8" borderId="37" xfId="0" applyFont="1" applyFill="1" applyBorder="1" applyAlignment="1">
      <alignment horizontal="center"/>
    </xf>
    <xf numFmtId="0" fontId="69" fillId="0" borderId="0" xfId="0" applyFont="1" applyAlignment="1">
      <alignment horizontal="center"/>
    </xf>
  </cellXfs>
  <cellStyles count="12">
    <cellStyle name="Hipervínculo" xfId="4" builtinId="8"/>
    <cellStyle name="Millares" xfId="1" builtinId="3"/>
    <cellStyle name="Millares 2" xfId="5" xr:uid="{00000000-0005-0000-0000-000006000000}"/>
    <cellStyle name="Moneda" xfId="2" builtinId="4"/>
    <cellStyle name="Normal" xfId="0" builtinId="0"/>
    <cellStyle name="Normal 2" xfId="6" xr:uid="{00000000-0005-0000-0000-000007000000}"/>
    <cellStyle name="Normal 2 2" xfId="7" xr:uid="{00000000-0005-0000-0000-000008000000}"/>
    <cellStyle name="Normal 3" xfId="8" xr:uid="{00000000-0005-0000-0000-000009000000}"/>
    <cellStyle name="Normal_Premios 2003" xfId="9" xr:uid="{00000000-0005-0000-0000-00000A000000}"/>
    <cellStyle name="Normal_Valoración blanco practica" xfId="10" xr:uid="{00000000-0005-0000-0000-00000B000000}"/>
    <cellStyle name="Porcentaje" xfId="3" builtinId="5"/>
    <cellStyle name="Porcentaje 2" xfId="11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376092"/>
      <rgbColor rgb="FFBFBFBF"/>
      <rgbColor rgb="FF878787"/>
      <rgbColor rgb="FFE3E3E3"/>
      <rgbColor rgb="FF953735"/>
      <rgbColor rgb="FFEBF1DE"/>
      <rgbColor rgb="FFDBEEF4"/>
      <rgbColor rgb="FF660066"/>
      <rgbColor rgb="FFFF8080"/>
      <rgbColor rgb="FF2E5F99"/>
      <rgbColor rgb="FFC6D9F1"/>
      <rgbColor rgb="FF000080"/>
      <rgbColor rgb="FFFF00FF"/>
      <rgbColor rgb="FFF2F2F2"/>
      <rgbColor rgb="FF00FFFF"/>
      <rgbColor rgb="FF800080"/>
      <rgbColor rgb="FF800000"/>
      <rgbColor rgb="FF4F81BD"/>
      <rgbColor rgb="FF0000FF"/>
      <rgbColor rgb="FF00CCFF"/>
      <rgbColor rgb="FFDCE6F2"/>
      <rgbColor rgb="FFEEECE1"/>
      <rgbColor rgb="FFFDEADA"/>
      <rgbColor rgb="FF99CCFF"/>
      <rgbColor rgb="FFD9D9D9"/>
      <rgbColor rgb="FFC4BD97"/>
      <rgbColor rgb="FFF2DCDB"/>
      <rgbColor rgb="FF3C7AC7"/>
      <rgbColor rgb="FF4BACC6"/>
      <rgbColor rgb="FF9BBB59"/>
      <rgbColor rgb="FFFFCC00"/>
      <rgbColor rgb="FFF79646"/>
      <rgbColor rgb="FFCB3D39"/>
      <rgbColor rgb="FF8064A2"/>
      <rgbColor rgb="FFA6A6A6"/>
      <rgbColor rgb="FF595959"/>
      <rgbColor rgb="FF31859C"/>
      <rgbColor rgb="FF003300"/>
      <rgbColor rgb="FF4F6228"/>
      <rgbColor rgb="FF9C2F2C"/>
      <rgbColor rgb="FFC0504D"/>
      <rgbColor rgb="FF1F497D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Composición del Costo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5D91-4768-8CD4-8DC731998F33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5D91-4768-8CD4-8DC731998F33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5D91-4768-8CD4-8DC731998F33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5D91-4768-8CD4-8DC731998F33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5D91-4768-8CD4-8DC731998F33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5D91-4768-8CD4-8DC731998F33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600" b="1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1-5D91-4768-8CD4-8DC731998F33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600" b="1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3-5D91-4768-8CD4-8DC731998F33}"/>
                </c:ext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600" b="1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5-5D91-4768-8CD4-8DC731998F33}"/>
                </c:ext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600" b="1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7-5D91-4768-8CD4-8DC731998F33}"/>
                </c:ext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600" b="1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9-5D91-4768-8CD4-8DC731998F33}"/>
                </c:ext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600" b="1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B-5D91-4768-8CD4-8DC731998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600" b="1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1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Comercial!$B$29:$B$34</c:f>
              <c:strCache>
                <c:ptCount val="6"/>
                <c:pt idx="0">
                  <c:v>Costos de Operación</c:v>
                </c:pt>
                <c:pt idx="1">
                  <c:v>Gastos de Administración</c:v>
                </c:pt>
                <c:pt idx="2">
                  <c:v>Impuesto de Operación </c:v>
                </c:pt>
                <c:pt idx="3">
                  <c:v>Variación de Capital de Trabajo neto Operativo</c:v>
                </c:pt>
                <c:pt idx="4">
                  <c:v>Inversiones de Capital (CAPEX)</c:v>
                </c:pt>
                <c:pt idx="5">
                  <c:v>Recuperación del Capital Empleado</c:v>
                </c:pt>
              </c:strCache>
            </c:strRef>
          </c:cat>
          <c:val>
            <c:numRef>
              <c:f>Comercial!$F$29:$F$34</c:f>
              <c:numCache>
                <c:formatCode>0.00%</c:formatCode>
                <c:ptCount val="6"/>
                <c:pt idx="0">
                  <c:v>0.3247821229414018</c:v>
                </c:pt>
                <c:pt idx="1">
                  <c:v>5.1039689828924657E-2</c:v>
                </c:pt>
                <c:pt idx="2">
                  <c:v>-0.28056623745809123</c:v>
                </c:pt>
                <c:pt idx="3">
                  <c:v>0</c:v>
                </c:pt>
                <c:pt idx="4">
                  <c:v>0.904858526356078</c:v>
                </c:pt>
                <c:pt idx="5">
                  <c:v>-1.1410657145880642E-4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91-4768-8CD4-8DC73199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2.59465763894898E-2"/>
          <c:y val="0.88795500069070299"/>
          <c:w val="0.95955373366790697"/>
          <c:h val="8.8843129806142701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7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Ppto!$B$279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Ppto!$D$275:$N$275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Ppto!$D$279:$N$279</c:f>
              <c:numCache>
                <c:formatCode>#,##0;[Red]\(#,##0\)</c:formatCode>
                <c:ptCount val="11"/>
                <c:pt idx="0">
                  <c:v>1672943.9999111588</c:v>
                </c:pt>
                <c:pt idx="1">
                  <c:v>1338355.199928927</c:v>
                </c:pt>
                <c:pt idx="2">
                  <c:v>1003766.3999466952</c:v>
                </c:pt>
                <c:pt idx="3">
                  <c:v>669177.59996446338</c:v>
                </c:pt>
                <c:pt idx="4">
                  <c:v>334588.79998223163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C-46B1-9E88-2EB1B589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9080"/>
        <c:axId val="8638956"/>
      </c:barChart>
      <c:catAx>
        <c:axId val="1942908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1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1" strike="noStrike" spc="-1">
                    <a:solidFill>
                      <a:srgbClr val="000000"/>
                    </a:solidFill>
                    <a:latin typeface="Calibri"/>
                  </a:rPr>
                  <a:t>Año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8638956"/>
        <c:crosses val="autoZero"/>
        <c:auto val="1"/>
        <c:lblAlgn val="ctr"/>
        <c:lblOffset val="100"/>
        <c:noMultiLvlLbl val="0"/>
      </c:catAx>
      <c:valAx>
        <c:axId val="86389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200" b="0" strike="noStrike" spc="-1">
                    <a:solidFill>
                      <a:srgbClr val="000000"/>
                    </a:solidFill>
                    <a:latin typeface="Calibri"/>
                  </a:rPr>
                  <a:t>Miles de pesos
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;[Red]\(#,##0\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1942908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595959"/>
                </a:solidFill>
                <a:latin typeface="Calibri"/>
              </a:rPr>
              <a:t>Costo de la deuda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Ppto!$D$275:$N$275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Ppto!$D$295:$N$295</c:f>
              <c:numCache>
                <c:formatCode>0%</c:formatCode>
                <c:ptCount val="11"/>
                <c:pt idx="0" formatCode="0.00%">
                  <c:v>0.20398946459840706</c:v>
                </c:pt>
                <c:pt idx="1">
                  <c:v>0.17502354865044389</c:v>
                </c:pt>
                <c:pt idx="2">
                  <c:v>0.13807953865882894</c:v>
                </c:pt>
                <c:pt idx="3">
                  <c:v>0.12944094435090658</c:v>
                </c:pt>
                <c:pt idx="4">
                  <c:v>0.12846918105703686</c:v>
                </c:pt>
                <c:pt idx="5">
                  <c:v>0.12846918105703686</c:v>
                </c:pt>
                <c:pt idx="6">
                  <c:v>0.12846918105703686</c:v>
                </c:pt>
                <c:pt idx="7">
                  <c:v>0.12846918105703686</c:v>
                </c:pt>
                <c:pt idx="8">
                  <c:v>0.12846918105703686</c:v>
                </c:pt>
                <c:pt idx="9">
                  <c:v>0.12846918105703686</c:v>
                </c:pt>
                <c:pt idx="10">
                  <c:v>0.12846918105703686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2-4021-8B5F-D9801950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53801"/>
        <c:axId val="27257333"/>
      </c:barChart>
      <c:catAx>
        <c:axId val="5345380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27257333"/>
        <c:crosses val="autoZero"/>
        <c:auto val="1"/>
        <c:lblAlgn val="ctr"/>
        <c:lblOffset val="100"/>
        <c:noMultiLvlLbl val="0"/>
      </c:catAx>
      <c:valAx>
        <c:axId val="2725733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53453801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000000"/>
                </a:solidFill>
                <a:latin typeface="Calibri"/>
              </a:rPr>
              <a:t>Ingresos vs  Resultado del periodo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Gráficos!$R$5</c:f>
              <c:strCache>
                <c:ptCount val="1"/>
                <c:pt idx="0">
                  <c:v>Resultado del Periodo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EEFFs!$E$6:$N$6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Gráficos!$U$5:$AD$5</c:f>
              <c:numCache>
                <c:formatCode>"$ "#,##0</c:formatCode>
                <c:ptCount val="10"/>
                <c:pt idx="0">
                  <c:v>344795.28293687198</c:v>
                </c:pt>
                <c:pt idx="1">
                  <c:v>431118.71673647698</c:v>
                </c:pt>
                <c:pt idx="2">
                  <c:v>481321.36271358503</c:v>
                </c:pt>
                <c:pt idx="3">
                  <c:v>488551.54632548901</c:v>
                </c:pt>
                <c:pt idx="4">
                  <c:v>576599.17250914802</c:v>
                </c:pt>
                <c:pt idx="5">
                  <c:v>626127.67648758006</c:v>
                </c:pt>
                <c:pt idx="6">
                  <c:v>671319.76250170195</c:v>
                </c:pt>
                <c:pt idx="7">
                  <c:v>665943.06913761899</c:v>
                </c:pt>
                <c:pt idx="8">
                  <c:v>756762.47674959304</c:v>
                </c:pt>
                <c:pt idx="9">
                  <c:v>799345.444585055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D-4628-9325-FFED8F8EF4FB}"/>
            </c:ext>
          </c:extLst>
        </c:ser>
        <c:ser>
          <c:idx val="1"/>
          <c:order val="1"/>
          <c:tx>
            <c:strRef>
              <c:f>Gráficos!$R$6</c:f>
              <c:strCache>
                <c:ptCount val="1"/>
                <c:pt idx="0">
                  <c:v>Ingresos</c:v>
                </c:pt>
              </c:strCache>
            </c:strRef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EEFFs!$E$6:$N$6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Gráficos!$U$6:$AD$6</c:f>
              <c:numCache>
                <c:formatCode>"$ "#,##0</c:formatCode>
                <c:ptCount val="10"/>
                <c:pt idx="0">
                  <c:v>1498603.9255892001</c:v>
                </c:pt>
                <c:pt idx="1">
                  <c:v>1498603.9255892001</c:v>
                </c:pt>
                <c:pt idx="2">
                  <c:v>1498603.9255892001</c:v>
                </c:pt>
                <c:pt idx="3">
                  <c:v>1498603.9255892001</c:v>
                </c:pt>
                <c:pt idx="4">
                  <c:v>1498603.9255892001</c:v>
                </c:pt>
                <c:pt idx="5">
                  <c:v>1498603.9255892001</c:v>
                </c:pt>
                <c:pt idx="6">
                  <c:v>1498603.9255892001</c:v>
                </c:pt>
                <c:pt idx="7">
                  <c:v>1498603.9255892001</c:v>
                </c:pt>
                <c:pt idx="8">
                  <c:v>1498603.9255892001</c:v>
                </c:pt>
                <c:pt idx="9">
                  <c:v>1498603.9255892001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D-4628-9325-FFED8F8EF4FB}"/>
            </c:ext>
          </c:extLst>
        </c:ser>
        <c:ser>
          <c:idx val="2"/>
          <c:order val="2"/>
          <c:tx>
            <c:strRef>
              <c:f>Gráficos!$R$7</c:f>
              <c:strCache>
                <c:ptCount val="1"/>
                <c:pt idx="0">
                  <c:v>Costo + Gasto</c:v>
                </c:pt>
              </c:strCache>
            </c:strRef>
          </c:tx>
          <c:spPr>
            <a:ln w="28440" cap="rnd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EEFFs!$E$6:$N$6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Gráficos!$U$7:$AD$7</c:f>
              <c:numCache>
                <c:formatCode>"$ "#,##0</c:formatCode>
                <c:ptCount val="10"/>
                <c:pt idx="0">
                  <c:v>260642.08199764634</c:v>
                </c:pt>
                <c:pt idx="1">
                  <c:v>270153.61898141302</c:v>
                </c:pt>
                <c:pt idx="2">
                  <c:v>274247.28766531643</c:v>
                </c:pt>
                <c:pt idx="3">
                  <c:v>346085.35033143876</c:v>
                </c:pt>
                <c:pt idx="4">
                  <c:v>294326.06217985135</c:v>
                </c:pt>
                <c:pt idx="5">
                  <c:v>311082.89219330996</c:v>
                </c:pt>
                <c:pt idx="6">
                  <c:v>315825.18259782565</c:v>
                </c:pt>
                <c:pt idx="7">
                  <c:v>402828.93875029468</c:v>
                </c:pt>
                <c:pt idx="8">
                  <c:v>340600.53668620449</c:v>
                </c:pt>
                <c:pt idx="9">
                  <c:v>362109.61427375837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D-4628-9325-FFED8F8EF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43602802"/>
        <c:axId val="64825495"/>
      </c:lineChart>
      <c:catAx>
        <c:axId val="4360280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000" b="1" strike="noStrike" spc="-1">
                    <a:solidFill>
                      <a:srgbClr val="000000"/>
                    </a:solidFill>
                    <a:latin typeface="Calibri"/>
                  </a:rPr>
                  <a:t>Años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noFill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64825495"/>
        <c:crosses val="autoZero"/>
        <c:auto val="1"/>
        <c:lblAlgn val="ctr"/>
        <c:lblOffset val="100"/>
        <c:noMultiLvlLbl val="0"/>
      </c:catAx>
      <c:valAx>
        <c:axId val="6482549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000" b="1" strike="noStrike" spc="-1">
                    <a:solidFill>
                      <a:srgbClr val="000000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&quot;$ &quot;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43602802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000000"/>
                </a:solidFill>
                <a:latin typeface="Calibri"/>
              </a:rPr>
              <a:t>Márgenes de utilidades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Gráficos!$R$11</c:f>
              <c:strCache>
                <c:ptCount val="1"/>
                <c:pt idx="0">
                  <c:v>Margen EBITDA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EEFFs!$E$25:$N$25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Gráficos!$V$11:$AD$11</c:f>
              <c:numCache>
                <c:formatCode>0%</c:formatCode>
                <c:ptCount val="9"/>
                <c:pt idx="0">
                  <c:v>0.81972980694335573</c:v>
                </c:pt>
                <c:pt idx="1">
                  <c:v>0.81699815209179072</c:v>
                </c:pt>
                <c:pt idx="2">
                  <c:v>0.7690614948874025</c:v>
                </c:pt>
                <c:pt idx="3">
                  <c:v>0.80359983238124033</c:v>
                </c:pt>
                <c:pt idx="4">
                  <c:v>0.79241820545011388</c:v>
                </c:pt>
                <c:pt idx="5">
                  <c:v>0.78925373328803439</c:v>
                </c:pt>
                <c:pt idx="6">
                  <c:v>0.73119719502141878</c:v>
                </c:pt>
                <c:pt idx="7">
                  <c:v>0.772721443691476</c:v>
                </c:pt>
                <c:pt idx="8">
                  <c:v>0.75836870030125481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9-4901-AB2A-689DD8915099}"/>
            </c:ext>
          </c:extLst>
        </c:ser>
        <c:ser>
          <c:idx val="1"/>
          <c:order val="1"/>
          <c:tx>
            <c:strRef>
              <c:f>Gráficos!$R$12</c:f>
              <c:strCache>
                <c:ptCount val="1"/>
                <c:pt idx="0">
                  <c:v>Margen operativo</c:v>
                </c:pt>
              </c:strCache>
            </c:strRef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EEFFs!$E$25:$N$25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Gráficos!$V$12:$AD$12</c:f>
              <c:numCache>
                <c:formatCode>0%</c:formatCode>
                <c:ptCount val="9"/>
                <c:pt idx="0">
                  <c:v>0.54300360897263511</c:v>
                </c:pt>
                <c:pt idx="1">
                  <c:v>0.54027195412107487</c:v>
                </c:pt>
                <c:pt idx="2">
                  <c:v>0.49231322070272504</c:v>
                </c:pt>
                <c:pt idx="3">
                  <c:v>0.52685155819656082</c:v>
                </c:pt>
                <c:pt idx="4">
                  <c:v>0.5156699312654357</c:v>
                </c:pt>
                <c:pt idx="5">
                  <c:v>0.51240199097598627</c:v>
                </c:pt>
                <c:pt idx="6">
                  <c:v>0.45434545270937121</c:v>
                </c:pt>
                <c:pt idx="7">
                  <c:v>0.49586970137942854</c:v>
                </c:pt>
                <c:pt idx="8">
                  <c:v>0.48140197500246235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9-4901-AB2A-689DD8915099}"/>
            </c:ext>
          </c:extLst>
        </c:ser>
        <c:ser>
          <c:idx val="2"/>
          <c:order val="2"/>
          <c:tx>
            <c:strRef>
              <c:f>Gráficos!$R$13</c:f>
              <c:strCache>
                <c:ptCount val="1"/>
                <c:pt idx="0">
                  <c:v>Margen neto</c:v>
                </c:pt>
              </c:strCache>
            </c:strRef>
          </c:tx>
          <c:spPr>
            <a:ln w="28440" cap="rnd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EEFFs!$E$25:$N$25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Gráficos!$V$13:$AD$13</c:f>
              <c:numCache>
                <c:formatCode>0%</c:formatCode>
                <c:ptCount val="9"/>
                <c:pt idx="0">
                  <c:v>0.28768022649278446</c:v>
                </c:pt>
                <c:pt idx="1">
                  <c:v>0.32117983577571763</c:v>
                </c:pt>
                <c:pt idx="2">
                  <c:v>0.32600444852925842</c:v>
                </c:pt>
                <c:pt idx="3">
                  <c:v>0.38475754845126864</c:v>
                </c:pt>
                <c:pt idx="4">
                  <c:v>0.41780731105545982</c:v>
                </c:pt>
                <c:pt idx="5">
                  <c:v>0.44796343519369991</c:v>
                </c:pt>
                <c:pt idx="6">
                  <c:v>0.44437563372576433</c:v>
                </c:pt>
                <c:pt idx="7">
                  <c:v>0.50497830936353627</c:v>
                </c:pt>
                <c:pt idx="8">
                  <c:v>0.53339340097536414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39-4901-AB2A-689DD891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26466916"/>
        <c:axId val="91998395"/>
      </c:lineChart>
      <c:catAx>
        <c:axId val="264669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91998395"/>
        <c:crosses val="autoZero"/>
        <c:auto val="1"/>
        <c:lblAlgn val="ctr"/>
        <c:lblOffset val="100"/>
        <c:noMultiLvlLbl val="0"/>
      </c:catAx>
      <c:valAx>
        <c:axId val="9199839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2646691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zero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000000"/>
                </a:solidFill>
                <a:latin typeface="Calibri"/>
              </a:rPr>
              <a:t>Estado de flujo de efectivo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Gráficos!$R$16</c:f>
              <c:strCache>
                <c:ptCount val="1"/>
                <c:pt idx="0">
                  <c:v>Ingresos  Totales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EEFFs!$D$25:$N$25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Gráficos!$T$16:$AD$16</c:f>
              <c:numCache>
                <c:formatCode>_-"$ "* #,##0_-;"-$ "* #,##0_-;_-"$ "* \-??_-;_-@_-</c:formatCode>
                <c:ptCount val="11"/>
                <c:pt idx="0">
                  <c:v>4182359.9997779001</c:v>
                </c:pt>
                <c:pt idx="1">
                  <c:v>1248836.60465767</c:v>
                </c:pt>
                <c:pt idx="2">
                  <c:v>1532915.6183515</c:v>
                </c:pt>
                <c:pt idx="3">
                  <c:v>1559373.1291491699</c:v>
                </c:pt>
                <c:pt idx="4">
                  <c:v>1598407.8622514601</c:v>
                </c:pt>
                <c:pt idx="5">
                  <c:v>1639122.1114117</c:v>
                </c:pt>
                <c:pt idx="6">
                  <c:v>1689092.2907289399</c:v>
                </c:pt>
                <c:pt idx="7">
                  <c:v>1763515.92505087</c:v>
                </c:pt>
                <c:pt idx="8">
                  <c:v>1842247.8452586001</c:v>
                </c:pt>
                <c:pt idx="9">
                  <c:v>1919741.6087513899</c:v>
                </c:pt>
                <c:pt idx="10">
                  <c:v>2006935.2585026601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9-4233-9E5B-482E6A499F54}"/>
            </c:ext>
          </c:extLst>
        </c:ser>
        <c:ser>
          <c:idx val="1"/>
          <c:order val="1"/>
          <c:tx>
            <c:strRef>
              <c:f>Gráficos!$R$17</c:f>
              <c:strCache>
                <c:ptCount val="1"/>
                <c:pt idx="0">
                  <c:v>Egresos Totales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EEFFs!$D$25:$N$25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Gráficos!$T$17:$AD$17</c:f>
              <c:numCache>
                <c:formatCode>_-"$ "* #,##0_-;"-$ "* #,##0_-;_-"$ "* \-??_-;_-@_-</c:formatCode>
                <c:ptCount val="11"/>
                <c:pt idx="0">
                  <c:v>-4182359.9997779001</c:v>
                </c:pt>
                <c:pt idx="1">
                  <c:v>-826042.51503088896</c:v>
                </c:pt>
                <c:pt idx="2">
                  <c:v>-1123849.96799377</c:v>
                </c:pt>
                <c:pt idx="3">
                  <c:v>-1007770.90770413</c:v>
                </c:pt>
                <c:pt idx="4">
                  <c:v>-1034035.1843282999</c:v>
                </c:pt>
                <c:pt idx="5">
                  <c:v>-946445.60381898005</c:v>
                </c:pt>
                <c:pt idx="6">
                  <c:v>-657446.94126575999</c:v>
                </c:pt>
                <c:pt idx="7">
                  <c:v>-672149.98899269395</c:v>
                </c:pt>
                <c:pt idx="8">
                  <c:v>-768044.98687735305</c:v>
                </c:pt>
                <c:pt idx="9">
                  <c:v>-711080.89111541095</c:v>
                </c:pt>
                <c:pt idx="10">
                  <c:v>-802715.76431870996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9-4233-9E5B-482E6A499F54}"/>
            </c:ext>
          </c:extLst>
        </c:ser>
        <c:ser>
          <c:idx val="2"/>
          <c:order val="2"/>
          <c:tx>
            <c:strRef>
              <c:f>Gráficos!$R$18</c:f>
              <c:strCache>
                <c:ptCount val="1"/>
                <c:pt idx="0">
                  <c:v>Caja Final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80" cap="rnd">
                <a:solidFill>
                  <a:srgbClr val="9BBB59"/>
                </a:solidFill>
                <a:prstDash val="sysDot"/>
                <a:round/>
              </a:ln>
            </c:spPr>
            <c:trendlineType val="linear"/>
            <c:dispRSqr val="0"/>
            <c:dispEq val="0"/>
          </c:trendline>
          <c:cat>
            <c:numRef>
              <c:f>EEFFs!$D$25:$N$25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Gráficos!$T$18:$AD$18</c:f>
              <c:numCache>
                <c:formatCode>_-"$ "* #,##0_-;"-$ "* #,##0_-;_-"$ "* \-??_-;_-@_-</c:formatCode>
                <c:ptCount val="11"/>
                <c:pt idx="0">
                  <c:v>0</c:v>
                </c:pt>
                <c:pt idx="1">
                  <c:v>422794.08962677798</c:v>
                </c:pt>
                <c:pt idx="2">
                  <c:v>831859.73998451</c:v>
                </c:pt>
                <c:pt idx="3">
                  <c:v>1383461.9614295501</c:v>
                </c:pt>
                <c:pt idx="4">
                  <c:v>1947834.6393527</c:v>
                </c:pt>
                <c:pt idx="5">
                  <c:v>2640511.1469454202</c:v>
                </c:pt>
                <c:pt idx="6">
                  <c:v>3672156.4964085999</c:v>
                </c:pt>
                <c:pt idx="7">
                  <c:v>4763522.4324667696</c:v>
                </c:pt>
                <c:pt idx="8">
                  <c:v>5837725.2908480102</c:v>
                </c:pt>
                <c:pt idx="9">
                  <c:v>7046386.0084839901</c:v>
                </c:pt>
                <c:pt idx="10">
                  <c:v>8250605.5026679495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9-4233-9E5B-482E6A49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85195"/>
        <c:axId val="52947632"/>
      </c:barChart>
      <c:catAx>
        <c:axId val="2548519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000000"/>
                    </a:solidFill>
                    <a:latin typeface="Calibri"/>
                  </a:rPr>
                  <a:t>Año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52947632"/>
        <c:crosses val="autoZero"/>
        <c:auto val="1"/>
        <c:lblAlgn val="ctr"/>
        <c:lblOffset val="100"/>
        <c:noMultiLvlLbl val="0"/>
      </c:catAx>
      <c:valAx>
        <c:axId val="5294763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000000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&quot;$ &quot;* #,##0_-;&quot;-$ &quot;* #,##0_-;_-&quot;$ &quot;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2548519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000000"/>
                </a:solidFill>
                <a:latin typeface="Calibri"/>
              </a:rPr>
              <a:t>Flujo de Caja del Proyecto Puro (FCL)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Gráficos!$B$89</c:f>
              <c:strCache>
                <c:ptCount val="1"/>
                <c:pt idx="0">
                  <c:v>Flujo de Caja del Proyecto Puro (FCL)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Ppto!$D$10:$N$10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Gráficos!$D$89:$N$89</c:f>
              <c:numCache>
                <c:formatCode>_-"$ "* #,##0_-;"-$ "* #,##0_-;_-"$ "* \-??_-;_-@_-</c:formatCode>
                <c:ptCount val="11"/>
                <c:pt idx="0">
                  <c:v>-4182359.9997779001</c:v>
                </c:pt>
                <c:pt idx="1">
                  <c:v>1050187.4851669299</c:v>
                </c:pt>
                <c:pt idx="2">
                  <c:v>714799.41136626701</c:v>
                </c:pt>
                <c:pt idx="3">
                  <c:v>940037.73223718302</c:v>
                </c:pt>
                <c:pt idx="4">
                  <c:v>882269.22950766096</c:v>
                </c:pt>
                <c:pt idx="5">
                  <c:v>956359.86203372898</c:v>
                </c:pt>
                <c:pt idx="6">
                  <c:v>897264.70921747596</c:v>
                </c:pt>
                <c:pt idx="7">
                  <c:v>917525.42811139103</c:v>
                </c:pt>
                <c:pt idx="8">
                  <c:v>842814.34253293904</c:v>
                </c:pt>
                <c:pt idx="9">
                  <c:v>928465.53541260597</c:v>
                </c:pt>
                <c:pt idx="10">
                  <c:v>1004774.61764927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3-4D80-AF45-F35444D9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2156"/>
        <c:axId val="18756979"/>
      </c:barChart>
      <c:catAx>
        <c:axId val="236215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1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0" strike="noStrike" spc="-1">
                    <a:solidFill>
                      <a:srgbClr val="000000"/>
                    </a:solidFill>
                    <a:latin typeface="Calibri"/>
                  </a:rPr>
                  <a:t>Año 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18756979"/>
        <c:crosses val="autoZero"/>
        <c:auto val="1"/>
        <c:lblAlgn val="ctr"/>
        <c:lblOffset val="100"/>
        <c:noMultiLvlLbl val="0"/>
      </c:catAx>
      <c:valAx>
        <c:axId val="187569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1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0" strike="noStrike" spc="-1">
                    <a:solidFill>
                      <a:srgbClr val="000000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&quot;$ &quot;* #,##0_-;&quot;-$ &quot;* #,##0_-;_-&quot;$ &quot;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236215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000000"/>
                </a:solidFill>
                <a:latin typeface="Calibri"/>
              </a:rPr>
              <a:t>Flujo de Caja del Proyecto Financiado ( FCAcc)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Gráficos!$B$87</c:f>
              <c:strCache>
                <c:ptCount val="1"/>
                <c:pt idx="0">
                  <c:v>Flujo de Caja del Proyecto Financiado ( FCAcc)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Evaluación!$D$8:$N$8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Gráficos!$D$87:$N$87</c:f>
              <c:numCache>
                <c:formatCode>_-"$ "* #,##0_-;"-$ "* #,##0_-;_-"$ "* \-??_-;_-@_-</c:formatCode>
                <c:ptCount val="11"/>
                <c:pt idx="0">
                  <c:v>-2509415.9998667398</c:v>
                </c:pt>
                <c:pt idx="1">
                  <c:v>525275.69807205</c:v>
                </c:pt>
                <c:pt idx="2">
                  <c:v>260090.956814946</c:v>
                </c:pt>
                <c:pt idx="3">
                  <c:v>520995.426289025</c:v>
                </c:pt>
                <c:pt idx="4">
                  <c:v>491800.77566348301</c:v>
                </c:pt>
                <c:pt idx="5">
                  <c:v>593831.23512052395</c:v>
                </c:pt>
                <c:pt idx="6">
                  <c:v>897264.70921747596</c:v>
                </c:pt>
                <c:pt idx="7">
                  <c:v>917525.42811139103</c:v>
                </c:pt>
                <c:pt idx="8">
                  <c:v>842814.34253293904</c:v>
                </c:pt>
                <c:pt idx="9">
                  <c:v>928465.53541260597</c:v>
                </c:pt>
                <c:pt idx="10">
                  <c:v>1004774.61764927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B-4049-93E2-21835363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47133"/>
        <c:axId val="94492430"/>
      </c:barChart>
      <c:catAx>
        <c:axId val="4184713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1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0" strike="noStrike" spc="-1">
                    <a:solidFill>
                      <a:srgbClr val="000000"/>
                    </a:solidFill>
                    <a:latin typeface="Calibri"/>
                  </a:rPr>
                  <a:t>Año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94492430"/>
        <c:crosses val="autoZero"/>
        <c:auto val="1"/>
        <c:lblAlgn val="ctr"/>
        <c:lblOffset val="100"/>
        <c:noMultiLvlLbl val="0"/>
      </c:catAx>
      <c:valAx>
        <c:axId val="944924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1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0" strike="noStrike" spc="-1">
                    <a:solidFill>
                      <a:srgbClr val="000000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&quot;$ &quot;* #,##0_-;&quot;-$ &quot;* #,##0_-;_-&quot;$ &quot;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4184713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000000"/>
                </a:solidFill>
                <a:latin typeface="Calibri"/>
              </a:rPr>
              <a:t>Periodo de recuperación  proyecto sin financiación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Gráficos!$B$85</c:f>
              <c:strCache>
                <c:ptCount val="1"/>
                <c:pt idx="0">
                  <c:v>Acumulado Flujo de Caja del Proyecto Puro (FCL)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Evaluación!$D$51:$N$51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Gráficos!$D$85:$N$85</c:f>
              <c:numCache>
                <c:formatCode>_-"$ "* #,##0_-;"-$ "* #,##0_-;_-"$ "* \-??_-;_-@_-</c:formatCode>
                <c:ptCount val="11"/>
                <c:pt idx="0">
                  <c:v>-4182359.9997779001</c:v>
                </c:pt>
                <c:pt idx="1">
                  <c:v>-3132172.5146109699</c:v>
                </c:pt>
                <c:pt idx="2">
                  <c:v>-2417373.1032447</c:v>
                </c:pt>
                <c:pt idx="3">
                  <c:v>-1477335.37100752</c:v>
                </c:pt>
                <c:pt idx="4">
                  <c:v>-595066.14149985602</c:v>
                </c:pt>
                <c:pt idx="5">
                  <c:v>361293.72053387301</c:v>
                </c:pt>
                <c:pt idx="6">
                  <c:v>1258558.4297513501</c:v>
                </c:pt>
                <c:pt idx="7">
                  <c:v>2176083.8578627398</c:v>
                </c:pt>
                <c:pt idx="8">
                  <c:v>3018898.20039568</c:v>
                </c:pt>
                <c:pt idx="9">
                  <c:v>3947363.7358082798</c:v>
                </c:pt>
                <c:pt idx="10">
                  <c:v>4952138.3534575598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E-47E6-8E84-CEB6F158D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3471586"/>
        <c:axId val="95608956"/>
      </c:lineChart>
      <c:catAx>
        <c:axId val="347158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95608956"/>
        <c:crosses val="autoZero"/>
        <c:auto val="1"/>
        <c:lblAlgn val="ctr"/>
        <c:lblOffset val="100"/>
        <c:noMultiLvlLbl val="0"/>
      </c:catAx>
      <c:valAx>
        <c:axId val="956089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&quot;$ &quot;* #,##0_-;&quot;-$ &quot;* #,##0_-;_-&quot;$ &quot;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347158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000000"/>
                </a:solidFill>
                <a:latin typeface="Calibri"/>
              </a:rPr>
              <a:t>Periodo de recuperación  proyecto con financiación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Gráficos!$B$83</c:f>
              <c:strCache>
                <c:ptCount val="1"/>
                <c:pt idx="0">
                  <c:v>Acumulado Flujo de Caja del Proyecto Financiado ( FCAcc)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Evaluación!$D$51:$N$51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Gráficos!$D$83:$N$83</c:f>
              <c:numCache>
                <c:formatCode>_-"$ "* #,##0_-;"-$ "* #,##0_-;_-"$ "* \-??_-;_-@_-</c:formatCode>
                <c:ptCount val="11"/>
                <c:pt idx="0">
                  <c:v>-2509415.9998667398</c:v>
                </c:pt>
                <c:pt idx="1">
                  <c:v>-1984140.3017946901</c:v>
                </c:pt>
                <c:pt idx="2">
                  <c:v>-1724049.34497974</c:v>
                </c:pt>
                <c:pt idx="3">
                  <c:v>-1203053.9186907201</c:v>
                </c:pt>
                <c:pt idx="4">
                  <c:v>-711253.14302723401</c:v>
                </c:pt>
                <c:pt idx="5">
                  <c:v>-117421.90790671</c:v>
                </c:pt>
                <c:pt idx="6">
                  <c:v>779842.80131076602</c:v>
                </c:pt>
                <c:pt idx="7">
                  <c:v>1697368.22942216</c:v>
                </c:pt>
                <c:pt idx="8">
                  <c:v>2540182.5719550899</c:v>
                </c:pt>
                <c:pt idx="9">
                  <c:v>3468648.1073677</c:v>
                </c:pt>
                <c:pt idx="10">
                  <c:v>4473422.7250169804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0-432C-905E-478828A2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13450923"/>
        <c:axId val="24358645"/>
      </c:lineChart>
      <c:catAx>
        <c:axId val="1345092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24358645"/>
        <c:crosses val="autoZero"/>
        <c:auto val="1"/>
        <c:lblAlgn val="ctr"/>
        <c:lblOffset val="100"/>
        <c:noMultiLvlLbl val="0"/>
      </c:catAx>
      <c:valAx>
        <c:axId val="2435864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&quot;$ &quot;* #,##0_-;&quot;-$ &quot;* #,##0_-;_-&quot;$ &quot;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13450923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000000"/>
                </a:solidFill>
                <a:latin typeface="Calibri"/>
              </a:rPr>
              <a:t>Razones financieras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Gráficos!$R$14</c:f>
              <c:strCache>
                <c:ptCount val="1"/>
                <c:pt idx="0">
                  <c:v>ROE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Evaluación!$E$100:$N$100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Gráficos!$U$14:$AD$14</c:f>
              <c:numCache>
                <c:formatCode>0%</c:formatCode>
                <c:ptCount val="10"/>
                <c:pt idx="0">
                  <c:v>0.12195235027905284</c:v>
                </c:pt>
                <c:pt idx="1">
                  <c:v>0.13230938130545383</c:v>
                </c:pt>
                <c:pt idx="2">
                  <c:v>0.12870466464258259</c:v>
                </c:pt>
                <c:pt idx="3">
                  <c:v>0.11554361789546218</c:v>
                </c:pt>
                <c:pt idx="4">
                  <c:v>0.12000267730905118</c:v>
                </c:pt>
                <c:pt idx="5">
                  <c:v>0.11528744447761474</c:v>
                </c:pt>
                <c:pt idx="6">
                  <c:v>0.11001033947072952</c:v>
                </c:pt>
                <c:pt idx="7">
                  <c:v>9.8391825141098704E-2</c:v>
                </c:pt>
                <c:pt idx="8">
                  <c:v>0.10056592238768168</c:v>
                </c:pt>
                <c:pt idx="9">
                  <c:v>9.6024572229353636E-2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0-40CA-9435-8EE39E4AFB53}"/>
            </c:ext>
          </c:extLst>
        </c:ser>
        <c:ser>
          <c:idx val="1"/>
          <c:order val="1"/>
          <c:tx>
            <c:strRef>
              <c:f>Gráficos!$R$15</c:f>
              <c:strCache>
                <c:ptCount val="1"/>
                <c:pt idx="0">
                  <c:v>ROA</c:v>
                </c:pt>
              </c:strCache>
            </c:strRef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Evaluación!$E$100:$N$100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Gráficos!$U$15:$AD$15</c:f>
              <c:numCache>
                <c:formatCode>0%</c:formatCode>
                <c:ptCount val="10"/>
                <c:pt idx="0">
                  <c:v>7.8577692084239092E-2</c:v>
                </c:pt>
                <c:pt idx="1">
                  <c:v>9.5118728002344485E-2</c:v>
                </c:pt>
                <c:pt idx="2">
                  <c:v>0.10225888573234126</c:v>
                </c:pt>
                <c:pt idx="3">
                  <c:v>0.10017870200330477</c:v>
                </c:pt>
                <c:pt idx="4">
                  <c:v>0.11179476007936082</c:v>
                </c:pt>
                <c:pt idx="5">
                  <c:v>0.1077061663549546</c:v>
                </c:pt>
                <c:pt idx="6">
                  <c:v>0.10312494290307776</c:v>
                </c:pt>
                <c:pt idx="7">
                  <c:v>9.2655084444551089E-2</c:v>
                </c:pt>
                <c:pt idx="8">
                  <c:v>9.4801291359422071E-2</c:v>
                </c:pt>
                <c:pt idx="9">
                  <c:v>9.0747563130471373E-2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0-40CA-9435-8EE39E4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819494"/>
        <c:axId val="17273734"/>
      </c:lineChart>
      <c:catAx>
        <c:axId val="968194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17273734"/>
        <c:crosses val="autoZero"/>
        <c:auto val="1"/>
        <c:lblAlgn val="ctr"/>
        <c:lblOffset val="100"/>
        <c:noMultiLvlLbl val="0"/>
      </c:catAx>
      <c:valAx>
        <c:axId val="1727373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96819494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000000"/>
                </a:solidFill>
                <a:latin typeface="Calibri"/>
              </a:rPr>
              <a:t>Costo deuda bancaria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80" cap="rnd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Macro!$C$52:$M$52</c:f>
              <c:numCache>
                <c:formatCode>0.00%</c:formatCode>
                <c:ptCount val="11"/>
                <c:pt idx="0">
                  <c:v>0.20398946459840706</c:v>
                </c:pt>
                <c:pt idx="1">
                  <c:v>0.17502354865044389</c:v>
                </c:pt>
                <c:pt idx="2">
                  <c:v>0.13807953865882894</c:v>
                </c:pt>
                <c:pt idx="3">
                  <c:v>0.12944094435090658</c:v>
                </c:pt>
                <c:pt idx="4">
                  <c:v>0.12846918105703686</c:v>
                </c:pt>
                <c:pt idx="5">
                  <c:v>0.12846918105703686</c:v>
                </c:pt>
                <c:pt idx="6">
                  <c:v>0.12846918105703686</c:v>
                </c:pt>
                <c:pt idx="7">
                  <c:v>0.12846918105703686</c:v>
                </c:pt>
                <c:pt idx="8">
                  <c:v>0.12846918105703686</c:v>
                </c:pt>
                <c:pt idx="9">
                  <c:v>0.12846918105703686</c:v>
                </c:pt>
                <c:pt idx="10">
                  <c:v>0.12846918105703686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9F-4F1B-ADA0-1C87D24DC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91262"/>
        <c:axId val="90815750"/>
      </c:scatterChart>
      <c:valAx>
        <c:axId val="2519126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90815750"/>
        <c:crosses val="autoZero"/>
        <c:crossBetween val="midCat"/>
      </c:valAx>
      <c:valAx>
        <c:axId val="9081575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2519126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000000"/>
                </a:solidFill>
                <a:latin typeface="Calibri"/>
              </a:rPr>
              <a:t>Razones financieras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EEFFs!$B$58</c:f>
              <c:strCache>
                <c:ptCount val="1"/>
                <c:pt idx="0">
                  <c:v>WACC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Evaluación!$E$100:$N$100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EEFFs!$E$58:$N$58</c:f>
              <c:numCache>
                <c:formatCode>0.00%</c:formatCode>
                <c:ptCount val="10"/>
                <c:pt idx="0">
                  <c:v>0.16197719675905353</c:v>
                </c:pt>
                <c:pt idx="1">
                  <c:v>0.16080769123182501</c:v>
                </c:pt>
                <c:pt idx="2">
                  <c:v>0.16712726038487546</c:v>
                </c:pt>
                <c:pt idx="3">
                  <c:v>0.17461581832854228</c:v>
                </c:pt>
                <c:pt idx="4">
                  <c:v>0.18140232101626794</c:v>
                </c:pt>
                <c:pt idx="5">
                  <c:v>0.18167951192124579</c:v>
                </c:pt>
                <c:pt idx="6">
                  <c:v>0.18201273646156652</c:v>
                </c:pt>
                <c:pt idx="7">
                  <c:v>0.18246288038228969</c:v>
                </c:pt>
                <c:pt idx="8">
                  <c:v>0.18256616564131942</c:v>
                </c:pt>
                <c:pt idx="9">
                  <c:v>0.18281490788326488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3-4630-AC20-7368B0CE1CFF}"/>
            </c:ext>
          </c:extLst>
        </c:ser>
        <c:ser>
          <c:idx val="1"/>
          <c:order val="1"/>
          <c:tx>
            <c:v>RCEO</c:v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Evaluación!$E$100:$N$100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Evaluación!$E$103:$N$103</c:f>
              <c:numCache>
                <c:formatCode>0.00%</c:formatCode>
                <c:ptCount val="10"/>
                <c:pt idx="0">
                  <c:v>0.12877491905069285</c:v>
                </c:pt>
                <c:pt idx="1">
                  <c:v>0.14529669208492266</c:v>
                </c:pt>
                <c:pt idx="2">
                  <c:v>0.15234387381309944</c:v>
                </c:pt>
                <c:pt idx="3">
                  <c:v>0.15771031325316767</c:v>
                </c:pt>
                <c:pt idx="4">
                  <c:v>0.19453888566102182</c:v>
                </c:pt>
                <c:pt idx="5">
                  <c:v>0.22885487247209821</c:v>
                </c:pt>
                <c:pt idx="6">
                  <c:v>0.27730354009980335</c:v>
                </c:pt>
                <c:pt idx="7">
                  <c:v>0.32035079490100432</c:v>
                </c:pt>
                <c:pt idx="8">
                  <c:v>0.49223284181658239</c:v>
                </c:pt>
                <c:pt idx="9">
                  <c:v>0.87512115348884933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3-4630-AC20-7368B0CE1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40223777"/>
        <c:axId val="90256607"/>
      </c:lineChart>
      <c:catAx>
        <c:axId val="4022377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90256607"/>
        <c:crosses val="autoZero"/>
        <c:auto val="1"/>
        <c:lblAlgn val="ctr"/>
        <c:lblOffset val="100"/>
        <c:noMultiLvlLbl val="0"/>
      </c:catAx>
      <c:valAx>
        <c:axId val="9025660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40223777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000000"/>
                </a:solidFill>
                <a:latin typeface="Calibri"/>
              </a:rPr>
              <a:t>Flujo de caja diferencial - Cliente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Gráficos!$B$89</c:f>
              <c:strCache>
                <c:ptCount val="1"/>
                <c:pt idx="0">
                  <c:v>Flujo de Caja del Proyecto Puro (FCL)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Comercial!$D$57:$N$57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Comercial!$D$96:$N$96</c:f>
              <c:numCache>
                <c:formatCode>#,##0;[Red]\(#,##0\)</c:formatCode>
                <c:ptCount val="11"/>
                <c:pt idx="0">
                  <c:v>-3286485.4749736004</c:v>
                </c:pt>
                <c:pt idx="1">
                  <c:v>727671.48852376058</c:v>
                </c:pt>
                <c:pt idx="2">
                  <c:v>823054.3667715725</c:v>
                </c:pt>
                <c:pt idx="3">
                  <c:v>2164449.1201995495</c:v>
                </c:pt>
                <c:pt idx="4">
                  <c:v>907219.07419310673</c:v>
                </c:pt>
                <c:pt idx="5">
                  <c:v>1038228.2531434773</c:v>
                </c:pt>
                <c:pt idx="6">
                  <c:v>1849116.312729805</c:v>
                </c:pt>
                <c:pt idx="7">
                  <c:v>1208071.0440711626</c:v>
                </c:pt>
                <c:pt idx="8">
                  <c:v>1259337.857840518</c:v>
                </c:pt>
                <c:pt idx="9">
                  <c:v>2277247.9447673578</c:v>
                </c:pt>
                <c:pt idx="10">
                  <c:v>-18216.521535326319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2-4F82-A366-0C8897A9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51494"/>
        <c:axId val="68615495"/>
      </c:barChart>
      <c:catAx>
        <c:axId val="4215149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1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0" strike="noStrike" spc="-1">
                    <a:solidFill>
                      <a:srgbClr val="000000"/>
                    </a:solidFill>
                    <a:latin typeface="Calibri"/>
                  </a:rPr>
                  <a:t>Año 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68615495"/>
        <c:crosses val="autoZero"/>
        <c:auto val="1"/>
        <c:lblAlgn val="ctr"/>
        <c:lblOffset val="100"/>
        <c:noMultiLvlLbl val="0"/>
      </c:catAx>
      <c:valAx>
        <c:axId val="6861549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1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CO" sz="1100" b="0" strike="noStrike" spc="-1">
                    <a:solidFill>
                      <a:srgbClr val="000000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;[Red]\(#,##0\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4215149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400" b="1" strike="noStrike" spc="-1">
                <a:solidFill>
                  <a:srgbClr val="000000"/>
                </a:solidFill>
                <a:latin typeface="Calibri"/>
              </a:rPr>
              <a:t>Annual Returns on Investments </a:t>
            </a:r>
          </a:p>
        </c:rich>
      </c:tx>
      <c:layout>
        <c:manualLayout>
          <c:xMode val="edge"/>
          <c:yMode val="edge"/>
          <c:x val="0.316739465570401"/>
          <c:y val="2.7882960413080901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Retornos!$T$12</c:f>
              <c:strCache>
                <c:ptCount val="1"/>
                <c:pt idx="0">
                  <c:v>S&amp;P 500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Retornos!$S$13:$S$108</c:f>
              <c:numCache>
                <c:formatCode>General</c:formatCode>
                <c:ptCount val="96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  <c:pt idx="91">
                  <c:v>2018</c:v>
                </c:pt>
                <c:pt idx="92">
                  <c:v>2019</c:v>
                </c:pt>
                <c:pt idx="93">
                  <c:v>2020</c:v>
                </c:pt>
                <c:pt idx="94">
                  <c:v>2021</c:v>
                </c:pt>
                <c:pt idx="95">
                  <c:v>2022</c:v>
                </c:pt>
              </c:numCache>
            </c:numRef>
          </c:cat>
          <c:val>
            <c:numRef>
              <c:f>Retornos!$T$13:$T$108</c:f>
              <c:numCache>
                <c:formatCode>0.00%</c:formatCode>
                <c:ptCount val="96"/>
                <c:pt idx="0">
                  <c:v>0</c:v>
                </c:pt>
                <c:pt idx="1">
                  <c:v>0.43811155152887898</c:v>
                </c:pt>
                <c:pt idx="2">
                  <c:v>-8.2979466119096595E-2</c:v>
                </c:pt>
                <c:pt idx="3">
                  <c:v>-0.25123636363636398</c:v>
                </c:pt>
                <c:pt idx="4">
                  <c:v>-0.43837548891786199</c:v>
                </c:pt>
                <c:pt idx="5">
                  <c:v>-8.6423645320197001E-2</c:v>
                </c:pt>
                <c:pt idx="6">
                  <c:v>0.49982225433526001</c:v>
                </c:pt>
                <c:pt idx="7">
                  <c:v>-1.1885656970912799E-2</c:v>
                </c:pt>
                <c:pt idx="8">
                  <c:v>0.46740421052631598</c:v>
                </c:pt>
                <c:pt idx="9">
                  <c:v>0.31943410275502598</c:v>
                </c:pt>
                <c:pt idx="10">
                  <c:v>-0.35336728754365498</c:v>
                </c:pt>
                <c:pt idx="11">
                  <c:v>0.29282654028436</c:v>
                </c:pt>
                <c:pt idx="12">
                  <c:v>-1.09756468797564E-2</c:v>
                </c:pt>
                <c:pt idx="13">
                  <c:v>-0.10672873194221499</c:v>
                </c:pt>
                <c:pt idx="14">
                  <c:v>-0.12771455576559601</c:v>
                </c:pt>
                <c:pt idx="15">
                  <c:v>0.19173762945914799</c:v>
                </c:pt>
                <c:pt idx="16">
                  <c:v>0.25061310133060399</c:v>
                </c:pt>
                <c:pt idx="17">
                  <c:v>0.19030676949443001</c:v>
                </c:pt>
                <c:pt idx="18">
                  <c:v>0.35821084337349401</c:v>
                </c:pt>
                <c:pt idx="19">
                  <c:v>-8.4291474654377793E-2</c:v>
                </c:pt>
                <c:pt idx="20">
                  <c:v>5.1999999999999998E-2</c:v>
                </c:pt>
                <c:pt idx="21">
                  <c:v>5.7045751633986799E-2</c:v>
                </c:pt>
                <c:pt idx="22">
                  <c:v>0.18303223684210501</c:v>
                </c:pt>
                <c:pt idx="23">
                  <c:v>0.30805539011316302</c:v>
                </c:pt>
                <c:pt idx="24">
                  <c:v>0.236784630445423</c:v>
                </c:pt>
                <c:pt idx="25">
                  <c:v>0.181509886411443</c:v>
                </c:pt>
                <c:pt idx="26">
                  <c:v>-1.2082047421904499E-2</c:v>
                </c:pt>
                <c:pt idx="27">
                  <c:v>0.52563321241434902</c:v>
                </c:pt>
                <c:pt idx="28">
                  <c:v>0.32597331851028299</c:v>
                </c:pt>
                <c:pt idx="29">
                  <c:v>7.4395118733509305E-2</c:v>
                </c:pt>
                <c:pt idx="30">
                  <c:v>-0.10457360188558</c:v>
                </c:pt>
                <c:pt idx="31">
                  <c:v>0.43719954988747201</c:v>
                </c:pt>
                <c:pt idx="32">
                  <c:v>0.12056457163557301</c:v>
                </c:pt>
                <c:pt idx="33">
                  <c:v>3.36535314743695E-3</c:v>
                </c:pt>
                <c:pt idx="34">
                  <c:v>0.26637712958182702</c:v>
                </c:pt>
                <c:pt idx="35">
                  <c:v>-8.8114605171208907E-2</c:v>
                </c:pt>
                <c:pt idx="36">
                  <c:v>0.226119270998415</c:v>
                </c:pt>
                <c:pt idx="37">
                  <c:v>0.164154558784324</c:v>
                </c:pt>
                <c:pt idx="38">
                  <c:v>0.123992424778761</c:v>
                </c:pt>
                <c:pt idx="39">
                  <c:v>-9.9709542356377898E-2</c:v>
                </c:pt>
                <c:pt idx="40">
                  <c:v>0.238029665131333</c:v>
                </c:pt>
                <c:pt idx="41">
                  <c:v>0.10814862651601501</c:v>
                </c:pt>
                <c:pt idx="42">
                  <c:v>-8.2413710764490597E-2</c:v>
                </c:pt>
                <c:pt idx="43">
                  <c:v>3.5611449054964203E-2</c:v>
                </c:pt>
                <c:pt idx="44">
                  <c:v>0.14221150298426499</c:v>
                </c:pt>
                <c:pt idx="45">
                  <c:v>0.187553629150749</c:v>
                </c:pt>
                <c:pt idx="46">
                  <c:v>-0.143080474375265</c:v>
                </c:pt>
                <c:pt idx="47">
                  <c:v>-0.25901785750897</c:v>
                </c:pt>
                <c:pt idx="48">
                  <c:v>0.369951371061844</c:v>
                </c:pt>
                <c:pt idx="49">
                  <c:v>0.23830999002106701</c:v>
                </c:pt>
                <c:pt idx="50">
                  <c:v>-6.9797040759352294E-2</c:v>
                </c:pt>
                <c:pt idx="51">
                  <c:v>6.50928391167193E-2</c:v>
                </c:pt>
                <c:pt idx="52">
                  <c:v>0.185194901675164</c:v>
                </c:pt>
                <c:pt idx="53">
                  <c:v>0.31735245506762999</c:v>
                </c:pt>
                <c:pt idx="54">
                  <c:v>-4.7023902474955803E-2</c:v>
                </c:pt>
                <c:pt idx="55">
                  <c:v>0.20419055079559401</c:v>
                </c:pt>
                <c:pt idx="56">
                  <c:v>0.22337155858930599</c:v>
                </c:pt>
                <c:pt idx="57">
                  <c:v>6.14614199963621E-2</c:v>
                </c:pt>
                <c:pt idx="58">
                  <c:v>0.31235149485768898</c:v>
                </c:pt>
                <c:pt idx="59">
                  <c:v>0.18494578758046201</c:v>
                </c:pt>
                <c:pt idx="60">
                  <c:v>5.8127216418218698E-2</c:v>
                </c:pt>
                <c:pt idx="61">
                  <c:v>0.16537192812044699</c:v>
                </c:pt>
                <c:pt idx="62">
                  <c:v>0.31475183638196702</c:v>
                </c:pt>
                <c:pt idx="63">
                  <c:v>-3.0644516129032101E-2</c:v>
                </c:pt>
                <c:pt idx="64">
                  <c:v>0.30234843134879802</c:v>
                </c:pt>
                <c:pt idx="65">
                  <c:v>7.4937279723800598E-2</c:v>
                </c:pt>
                <c:pt idx="66">
                  <c:v>9.96705147919488E-2</c:v>
                </c:pt>
                <c:pt idx="67">
                  <c:v>1.3259206774573901E-2</c:v>
                </c:pt>
                <c:pt idx="68">
                  <c:v>0.37195198902606302</c:v>
                </c:pt>
                <c:pt idx="69">
                  <c:v>0.226809660188658</c:v>
                </c:pt>
                <c:pt idx="70">
                  <c:v>0.33103653103653102</c:v>
                </c:pt>
                <c:pt idx="71">
                  <c:v>0.28337953278443601</c:v>
                </c:pt>
                <c:pt idx="72">
                  <c:v>0.208853509920845</c:v>
                </c:pt>
                <c:pt idx="73">
                  <c:v>-9.0318189552492795E-2</c:v>
                </c:pt>
                <c:pt idx="74">
                  <c:v>-0.118497591420002</c:v>
                </c:pt>
                <c:pt idx="75">
                  <c:v>-0.21966047957912699</c:v>
                </c:pt>
                <c:pt idx="76">
                  <c:v>0.28355800050010199</c:v>
                </c:pt>
                <c:pt idx="77">
                  <c:v>0.107427759440962</c:v>
                </c:pt>
                <c:pt idx="78">
                  <c:v>4.83447752326885E-2</c:v>
                </c:pt>
                <c:pt idx="79">
                  <c:v>0.156125579793157</c:v>
                </c:pt>
                <c:pt idx="80">
                  <c:v>5.4847352464217701E-2</c:v>
                </c:pt>
                <c:pt idx="81">
                  <c:v>-0.36552344111798202</c:v>
                </c:pt>
                <c:pt idx="82">
                  <c:v>0.25935233877663999</c:v>
                </c:pt>
                <c:pt idx="83">
                  <c:v>0.148210922787194</c:v>
                </c:pt>
                <c:pt idx="84">
                  <c:v>2.09837473362805E-2</c:v>
                </c:pt>
                <c:pt idx="85">
                  <c:v>0.15890585241730301</c:v>
                </c:pt>
                <c:pt idx="86">
                  <c:v>0.32145085858125499</c:v>
                </c:pt>
                <c:pt idx="87">
                  <c:v>0.13524421649462201</c:v>
                </c:pt>
                <c:pt idx="88">
                  <c:v>1.3599494875904601E-2</c:v>
                </c:pt>
                <c:pt idx="89">
                  <c:v>0.117403004060864</c:v>
                </c:pt>
                <c:pt idx="90">
                  <c:v>0.21641176239375001</c:v>
                </c:pt>
                <c:pt idx="91">
                  <c:v>-4.2321056549010597E-2</c:v>
                </c:pt>
                <c:pt idx="92">
                  <c:v>0.31223647206653798</c:v>
                </c:pt>
                <c:pt idx="93">
                  <c:v>0.18013916144089001</c:v>
                </c:pt>
                <c:pt idx="94">
                  <c:v>0.28470000000000001</c:v>
                </c:pt>
                <c:pt idx="95">
                  <c:v>-0.180089715453466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AB-417F-97BC-A793BC211ABC}"/>
            </c:ext>
          </c:extLst>
        </c:ser>
        <c:ser>
          <c:idx val="1"/>
          <c:order val="1"/>
          <c:tx>
            <c:strRef>
              <c:f>Retornos!$U$12</c:f>
              <c:strCache>
                <c:ptCount val="1"/>
                <c:pt idx="0">
                  <c:v>3-month T.Bill</c:v>
                </c:pt>
              </c:strCache>
            </c:strRef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Retornos!$S$13:$S$108</c:f>
              <c:numCache>
                <c:formatCode>General</c:formatCode>
                <c:ptCount val="96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  <c:pt idx="91">
                  <c:v>2018</c:v>
                </c:pt>
                <c:pt idx="92">
                  <c:v>2019</c:v>
                </c:pt>
                <c:pt idx="93">
                  <c:v>2020</c:v>
                </c:pt>
                <c:pt idx="94">
                  <c:v>2021</c:v>
                </c:pt>
                <c:pt idx="95">
                  <c:v>2022</c:v>
                </c:pt>
              </c:numCache>
            </c:numRef>
          </c:cat>
          <c:val>
            <c:numRef>
              <c:f>Retornos!$U$13:$U$108</c:f>
              <c:numCache>
                <c:formatCode>0.00%</c:formatCode>
                <c:ptCount val="96"/>
                <c:pt idx="0">
                  <c:v>0</c:v>
                </c:pt>
                <c:pt idx="1">
                  <c:v>3.0800000000000001E-2</c:v>
                </c:pt>
                <c:pt idx="2">
                  <c:v>3.1600000000000003E-2</c:v>
                </c:pt>
                <c:pt idx="3">
                  <c:v>4.5499999999999999E-2</c:v>
                </c:pt>
                <c:pt idx="4">
                  <c:v>2.3099999999999999E-2</c:v>
                </c:pt>
                <c:pt idx="5">
                  <c:v>1.0699999999999999E-2</c:v>
                </c:pt>
                <c:pt idx="6">
                  <c:v>9.5999999999999992E-3</c:v>
                </c:pt>
                <c:pt idx="7">
                  <c:v>3.225E-3</c:v>
                </c:pt>
                <c:pt idx="8">
                  <c:v>1.75E-3</c:v>
                </c:pt>
                <c:pt idx="9">
                  <c:v>1.6999999999999999E-3</c:v>
                </c:pt>
                <c:pt idx="10">
                  <c:v>3.0249999999999999E-3</c:v>
                </c:pt>
                <c:pt idx="11">
                  <c:v>7.7499999999999997E-4</c:v>
                </c:pt>
                <c:pt idx="12">
                  <c:v>3.7500000000000001E-4</c:v>
                </c:pt>
                <c:pt idx="13">
                  <c:v>2.5000000000000001E-4</c:v>
                </c:pt>
                <c:pt idx="14">
                  <c:v>8.25E-4</c:v>
                </c:pt>
                <c:pt idx="15">
                  <c:v>3.375E-3</c:v>
                </c:pt>
                <c:pt idx="16">
                  <c:v>3.8E-3</c:v>
                </c:pt>
                <c:pt idx="17">
                  <c:v>3.8E-3</c:v>
                </c:pt>
                <c:pt idx="18">
                  <c:v>3.8E-3</c:v>
                </c:pt>
                <c:pt idx="19">
                  <c:v>3.8E-3</c:v>
                </c:pt>
                <c:pt idx="20">
                  <c:v>5.6750000000000004E-3</c:v>
                </c:pt>
                <c:pt idx="21">
                  <c:v>1.0225E-2</c:v>
                </c:pt>
                <c:pt idx="22">
                  <c:v>1.1025E-2</c:v>
                </c:pt>
                <c:pt idx="23">
                  <c:v>1.1724999999999999E-2</c:v>
                </c:pt>
                <c:pt idx="24">
                  <c:v>1.4775E-2</c:v>
                </c:pt>
                <c:pt idx="25">
                  <c:v>1.6725E-2</c:v>
                </c:pt>
                <c:pt idx="26">
                  <c:v>1.8925000000000001E-2</c:v>
                </c:pt>
                <c:pt idx="27">
                  <c:v>9.6249999999999999E-3</c:v>
                </c:pt>
                <c:pt idx="28">
                  <c:v>1.66E-2</c:v>
                </c:pt>
                <c:pt idx="29">
                  <c:v>2.555E-2</c:v>
                </c:pt>
                <c:pt idx="30">
                  <c:v>3.2300000000000002E-2</c:v>
                </c:pt>
                <c:pt idx="31">
                  <c:v>1.7774999999999999E-2</c:v>
                </c:pt>
                <c:pt idx="32">
                  <c:v>3.2550000000000003E-2</c:v>
                </c:pt>
                <c:pt idx="33">
                  <c:v>3.0450000000000001E-2</c:v>
                </c:pt>
                <c:pt idx="34">
                  <c:v>2.2675000000000001E-2</c:v>
                </c:pt>
                <c:pt idx="35">
                  <c:v>2.7775000000000001E-2</c:v>
                </c:pt>
                <c:pt idx="36">
                  <c:v>3.1099999999999999E-2</c:v>
                </c:pt>
                <c:pt idx="37">
                  <c:v>3.5049999999999998E-2</c:v>
                </c:pt>
                <c:pt idx="38">
                  <c:v>3.9024999999999997E-2</c:v>
                </c:pt>
                <c:pt idx="39">
                  <c:v>4.8399999999999999E-2</c:v>
                </c:pt>
                <c:pt idx="40">
                  <c:v>4.3325000000000002E-2</c:v>
                </c:pt>
                <c:pt idx="41">
                  <c:v>5.2600000000000001E-2</c:v>
                </c:pt>
                <c:pt idx="42">
                  <c:v>6.5625000000000003E-2</c:v>
                </c:pt>
                <c:pt idx="43">
                  <c:v>6.6850000000000007E-2</c:v>
                </c:pt>
                <c:pt idx="44">
                  <c:v>4.5400000000000003E-2</c:v>
                </c:pt>
                <c:pt idx="45">
                  <c:v>3.9524999999999998E-2</c:v>
                </c:pt>
                <c:pt idx="46">
                  <c:v>6.7250000000000004E-2</c:v>
                </c:pt>
                <c:pt idx="47">
                  <c:v>7.7774999999999997E-2</c:v>
                </c:pt>
                <c:pt idx="48">
                  <c:v>5.9900000000000002E-2</c:v>
                </c:pt>
                <c:pt idx="49">
                  <c:v>4.9700000000000001E-2</c:v>
                </c:pt>
                <c:pt idx="50">
                  <c:v>5.1275000000000001E-2</c:v>
                </c:pt>
                <c:pt idx="51">
                  <c:v>6.9324999999999998E-2</c:v>
                </c:pt>
                <c:pt idx="52">
                  <c:v>9.9375000000000005E-2</c:v>
                </c:pt>
                <c:pt idx="53">
                  <c:v>0.11219999999999999</c:v>
                </c:pt>
                <c:pt idx="54">
                  <c:v>0.14299999999999999</c:v>
                </c:pt>
                <c:pt idx="55">
                  <c:v>0.1101</c:v>
                </c:pt>
                <c:pt idx="56">
                  <c:v>8.4474999999999995E-2</c:v>
                </c:pt>
                <c:pt idx="57">
                  <c:v>9.6125000000000002E-2</c:v>
                </c:pt>
                <c:pt idx="58">
                  <c:v>7.4874999999999997E-2</c:v>
                </c:pt>
                <c:pt idx="59">
                  <c:v>6.0350000000000001E-2</c:v>
                </c:pt>
                <c:pt idx="60">
                  <c:v>5.7224999999999998E-2</c:v>
                </c:pt>
                <c:pt idx="61">
                  <c:v>6.4500000000000002E-2</c:v>
                </c:pt>
                <c:pt idx="62">
                  <c:v>8.1100000000000005E-2</c:v>
                </c:pt>
                <c:pt idx="63">
                  <c:v>7.5499999999999998E-2</c:v>
                </c:pt>
                <c:pt idx="64">
                  <c:v>5.6099999999999997E-2</c:v>
                </c:pt>
                <c:pt idx="65">
                  <c:v>3.4049999999999997E-2</c:v>
                </c:pt>
                <c:pt idx="66">
                  <c:v>2.9825000000000001E-2</c:v>
                </c:pt>
                <c:pt idx="67">
                  <c:v>3.9849999999999997E-2</c:v>
                </c:pt>
                <c:pt idx="68">
                  <c:v>5.5149999999999998E-2</c:v>
                </c:pt>
                <c:pt idx="69">
                  <c:v>5.0224999999999999E-2</c:v>
                </c:pt>
                <c:pt idx="70">
                  <c:v>5.0525E-2</c:v>
                </c:pt>
                <c:pt idx="71">
                  <c:v>4.7274999999999998E-2</c:v>
                </c:pt>
                <c:pt idx="72">
                  <c:v>4.5100000000000001E-2</c:v>
                </c:pt>
                <c:pt idx="73">
                  <c:v>5.7625000000000003E-2</c:v>
                </c:pt>
                <c:pt idx="74">
                  <c:v>3.6725000000000001E-2</c:v>
                </c:pt>
                <c:pt idx="75">
                  <c:v>1.6574999999999999E-2</c:v>
                </c:pt>
                <c:pt idx="76">
                  <c:v>1.03E-2</c:v>
                </c:pt>
                <c:pt idx="77">
                  <c:v>1.2274999999999999E-2</c:v>
                </c:pt>
                <c:pt idx="78">
                  <c:v>3.0099999999999998E-2</c:v>
                </c:pt>
                <c:pt idx="79">
                  <c:v>4.6774999999999997E-2</c:v>
                </c:pt>
                <c:pt idx="80">
                  <c:v>4.6425000000000001E-2</c:v>
                </c:pt>
                <c:pt idx="81">
                  <c:v>1.585E-2</c:v>
                </c:pt>
                <c:pt idx="82">
                  <c:v>1.3500000000000001E-3</c:v>
                </c:pt>
                <c:pt idx="83">
                  <c:v>1.2999999999999999E-3</c:v>
                </c:pt>
                <c:pt idx="84">
                  <c:v>2.9999999999999997E-4</c:v>
                </c:pt>
                <c:pt idx="85">
                  <c:v>5.0000000000000001E-4</c:v>
                </c:pt>
                <c:pt idx="86">
                  <c:v>6.6E-4</c:v>
                </c:pt>
                <c:pt idx="87">
                  <c:v>5.2999999999999998E-4</c:v>
                </c:pt>
                <c:pt idx="88">
                  <c:v>2.0999999999999999E-3</c:v>
                </c:pt>
                <c:pt idx="89">
                  <c:v>5.1000000000000004E-3</c:v>
                </c:pt>
                <c:pt idx="90">
                  <c:v>1.3899999999999999E-2</c:v>
                </c:pt>
                <c:pt idx="91">
                  <c:v>2.3699999999999999E-2</c:v>
                </c:pt>
                <c:pt idx="92">
                  <c:v>1.55E-2</c:v>
                </c:pt>
                <c:pt idx="93">
                  <c:v>8.9999999999999998E-4</c:v>
                </c:pt>
                <c:pt idx="94">
                  <c:v>5.9999999999999995E-4</c:v>
                </c:pt>
                <c:pt idx="95">
                  <c:v>2.02477911646586E-2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AB-417F-97BC-A793BC211ABC}"/>
            </c:ext>
          </c:extLst>
        </c:ser>
        <c:ser>
          <c:idx val="2"/>
          <c:order val="2"/>
          <c:tx>
            <c:strRef>
              <c:f>Retornos!$V$12</c:f>
              <c:strCache>
                <c:ptCount val="1"/>
                <c:pt idx="0">
                  <c:v>10-year T. Bond</c:v>
                </c:pt>
              </c:strCache>
            </c:strRef>
          </c:tx>
          <c:spPr>
            <a:ln w="28440" cap="rnd">
              <a:solidFill>
                <a:srgbClr val="77933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Retornos!$S$13:$S$108</c:f>
              <c:numCache>
                <c:formatCode>General</c:formatCode>
                <c:ptCount val="96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  <c:pt idx="91">
                  <c:v>2018</c:v>
                </c:pt>
                <c:pt idx="92">
                  <c:v>2019</c:v>
                </c:pt>
                <c:pt idx="93">
                  <c:v>2020</c:v>
                </c:pt>
                <c:pt idx="94">
                  <c:v>2021</c:v>
                </c:pt>
                <c:pt idx="95">
                  <c:v>2022</c:v>
                </c:pt>
              </c:numCache>
            </c:numRef>
          </c:cat>
          <c:val>
            <c:numRef>
              <c:f>Retornos!$V$13:$V$108</c:f>
              <c:numCache>
                <c:formatCode>0.00%</c:formatCode>
                <c:ptCount val="96"/>
                <c:pt idx="0">
                  <c:v>0</c:v>
                </c:pt>
                <c:pt idx="1">
                  <c:v>8.3547085897993003E-3</c:v>
                </c:pt>
                <c:pt idx="2">
                  <c:v>4.2038041563204301E-2</c:v>
                </c:pt>
                <c:pt idx="3">
                  <c:v>4.54093143489704E-2</c:v>
                </c:pt>
                <c:pt idx="4">
                  <c:v>-2.55885596194225E-2</c:v>
                </c:pt>
                <c:pt idx="5">
                  <c:v>8.7903069904773298E-2</c:v>
                </c:pt>
                <c:pt idx="6">
                  <c:v>1.8552720891857399E-2</c:v>
                </c:pt>
                <c:pt idx="7">
                  <c:v>7.9634426179656104E-2</c:v>
                </c:pt>
                <c:pt idx="8">
                  <c:v>4.47204772965661E-2</c:v>
                </c:pt>
                <c:pt idx="9">
                  <c:v>5.0178754045450601E-2</c:v>
                </c:pt>
                <c:pt idx="10">
                  <c:v>1.37914605964604E-2</c:v>
                </c:pt>
                <c:pt idx="11">
                  <c:v>4.2132485322046102E-2</c:v>
                </c:pt>
                <c:pt idx="12">
                  <c:v>4.4122613942060698E-2</c:v>
                </c:pt>
                <c:pt idx="13">
                  <c:v>5.4024815962845502E-2</c:v>
                </c:pt>
                <c:pt idx="14">
                  <c:v>-2.0221975848580102E-2</c:v>
                </c:pt>
                <c:pt idx="15">
                  <c:v>2.2948682374484199E-2</c:v>
                </c:pt>
                <c:pt idx="16">
                  <c:v>2.4899999999999999E-2</c:v>
                </c:pt>
                <c:pt idx="17">
                  <c:v>2.57761115790703E-2</c:v>
                </c:pt>
                <c:pt idx="18">
                  <c:v>3.8044173419237201E-2</c:v>
                </c:pt>
                <c:pt idx="19">
                  <c:v>3.1283745375695698E-2</c:v>
                </c:pt>
                <c:pt idx="20">
                  <c:v>9.1969680628322392E-3</c:v>
                </c:pt>
                <c:pt idx="21">
                  <c:v>1.9510369413175001E-2</c:v>
                </c:pt>
                <c:pt idx="22">
                  <c:v>4.6634851827973098E-2</c:v>
                </c:pt>
                <c:pt idx="23">
                  <c:v>4.2959574171096103E-3</c:v>
                </c:pt>
                <c:pt idx="24">
                  <c:v>-2.9531392208319899E-3</c:v>
                </c:pt>
                <c:pt idx="25">
                  <c:v>2.2679961918305701E-2</c:v>
                </c:pt>
                <c:pt idx="26">
                  <c:v>4.1438402589088499E-2</c:v>
                </c:pt>
                <c:pt idx="27">
                  <c:v>3.2898034558095597E-2</c:v>
                </c:pt>
                <c:pt idx="28">
                  <c:v>-1.3364391288618801E-2</c:v>
                </c:pt>
                <c:pt idx="29">
                  <c:v>-2.25577381731542E-2</c:v>
                </c:pt>
                <c:pt idx="30">
                  <c:v>6.7970128466249904E-2</c:v>
                </c:pt>
                <c:pt idx="31">
                  <c:v>-2.0990181755274701E-2</c:v>
                </c:pt>
                <c:pt idx="32">
                  <c:v>-2.6466312591385099E-2</c:v>
                </c:pt>
                <c:pt idx="33">
                  <c:v>0.116395036909634</c:v>
                </c:pt>
                <c:pt idx="34">
                  <c:v>2.0609208076323202E-2</c:v>
                </c:pt>
                <c:pt idx="35">
                  <c:v>5.6935440540084599E-2</c:v>
                </c:pt>
                <c:pt idx="36">
                  <c:v>1.68416207395461E-2</c:v>
                </c:pt>
                <c:pt idx="37">
                  <c:v>3.7280648911540801E-2</c:v>
                </c:pt>
                <c:pt idx="38">
                  <c:v>7.1885509359262299E-3</c:v>
                </c:pt>
                <c:pt idx="39">
                  <c:v>2.9079409324299602E-2</c:v>
                </c:pt>
                <c:pt idx="40">
                  <c:v>-1.5806209932824701E-2</c:v>
                </c:pt>
                <c:pt idx="41">
                  <c:v>3.27461969507684E-2</c:v>
                </c:pt>
                <c:pt idx="42">
                  <c:v>-5.0140493209926099E-2</c:v>
                </c:pt>
                <c:pt idx="43">
                  <c:v>0.16754737183412299</c:v>
                </c:pt>
                <c:pt idx="44">
                  <c:v>9.7868966197123E-2</c:v>
                </c:pt>
                <c:pt idx="45">
                  <c:v>2.81844905044497E-2</c:v>
                </c:pt>
                <c:pt idx="46">
                  <c:v>3.6586646024150099E-2</c:v>
                </c:pt>
                <c:pt idx="47">
                  <c:v>1.9886086932378599E-2</c:v>
                </c:pt>
                <c:pt idx="48">
                  <c:v>3.6052536026033803E-2</c:v>
                </c:pt>
                <c:pt idx="49">
                  <c:v>0.15984560742909201</c:v>
                </c:pt>
                <c:pt idx="50">
                  <c:v>1.2899606071070401E-2</c:v>
                </c:pt>
                <c:pt idx="51">
                  <c:v>-7.7758069075086504E-3</c:v>
                </c:pt>
                <c:pt idx="52">
                  <c:v>6.7072031247235502E-3</c:v>
                </c:pt>
                <c:pt idx="53">
                  <c:v>-2.9897442519993999E-2</c:v>
                </c:pt>
                <c:pt idx="54">
                  <c:v>8.19921533589235E-2</c:v>
                </c:pt>
                <c:pt idx="55">
                  <c:v>0.32814549486295602</c:v>
                </c:pt>
                <c:pt idx="56">
                  <c:v>3.2002094451429298E-2</c:v>
                </c:pt>
                <c:pt idx="57">
                  <c:v>0.137333643441023</c:v>
                </c:pt>
                <c:pt idx="58">
                  <c:v>0.25712488212606399</c:v>
                </c:pt>
                <c:pt idx="59">
                  <c:v>0.24284215141767601</c:v>
                </c:pt>
                <c:pt idx="60">
                  <c:v>-4.96050893792623E-2</c:v>
                </c:pt>
                <c:pt idx="61">
                  <c:v>8.2235958434841702E-2</c:v>
                </c:pt>
                <c:pt idx="62">
                  <c:v>0.17693647159446199</c:v>
                </c:pt>
                <c:pt idx="63">
                  <c:v>6.2353753335533398E-2</c:v>
                </c:pt>
                <c:pt idx="64">
                  <c:v>0.150045100195173</c:v>
                </c:pt>
                <c:pt idx="65">
                  <c:v>9.3616373162079394E-2</c:v>
                </c:pt>
                <c:pt idx="66">
                  <c:v>0.14210957589263101</c:v>
                </c:pt>
                <c:pt idx="67">
                  <c:v>-8.0366555509985907E-2</c:v>
                </c:pt>
                <c:pt idx="68">
                  <c:v>0.23480780112538899</c:v>
                </c:pt>
                <c:pt idx="69">
                  <c:v>1.42860779340184E-2</c:v>
                </c:pt>
                <c:pt idx="70">
                  <c:v>9.9391302729775297E-2</c:v>
                </c:pt>
                <c:pt idx="71">
                  <c:v>0.14921431922606199</c:v>
                </c:pt>
                <c:pt idx="72">
                  <c:v>-8.2542147962685802E-2</c:v>
                </c:pt>
                <c:pt idx="73">
                  <c:v>0.16655267125397499</c:v>
                </c:pt>
                <c:pt idx="74">
                  <c:v>5.5721811892492597E-2</c:v>
                </c:pt>
                <c:pt idx="75">
                  <c:v>0.15116400378109299</c:v>
                </c:pt>
                <c:pt idx="76">
                  <c:v>3.7531858817758498E-3</c:v>
                </c:pt>
                <c:pt idx="77">
                  <c:v>4.4906837022745498E-2</c:v>
                </c:pt>
                <c:pt idx="78">
                  <c:v>2.8675329597779499E-2</c:v>
                </c:pt>
                <c:pt idx="79">
                  <c:v>1.96100124175684E-2</c:v>
                </c:pt>
                <c:pt idx="80">
                  <c:v>0.102099219300128</c:v>
                </c:pt>
                <c:pt idx="81">
                  <c:v>0.20101279926977</c:v>
                </c:pt>
                <c:pt idx="82">
                  <c:v>-0.11116695313259201</c:v>
                </c:pt>
                <c:pt idx="83">
                  <c:v>8.4629338803557705E-2</c:v>
                </c:pt>
                <c:pt idx="84">
                  <c:v>0.16035334999461401</c:v>
                </c:pt>
                <c:pt idx="85">
                  <c:v>2.9715719780189501E-2</c:v>
                </c:pt>
                <c:pt idx="86">
                  <c:v>-9.1045687943472606E-2</c:v>
                </c:pt>
                <c:pt idx="87">
                  <c:v>0.107461804520048</c:v>
                </c:pt>
                <c:pt idx="88">
                  <c:v>1.28429967097922E-2</c:v>
                </c:pt>
                <c:pt idx="89">
                  <c:v>6.9055046987477903E-3</c:v>
                </c:pt>
                <c:pt idx="90">
                  <c:v>2.8017162707789499E-2</c:v>
                </c:pt>
                <c:pt idx="91">
                  <c:v>-1.66923857134026E-4</c:v>
                </c:pt>
                <c:pt idx="92">
                  <c:v>9.6356307415483899E-2</c:v>
                </c:pt>
                <c:pt idx="93">
                  <c:v>0.113318976466141</c:v>
                </c:pt>
                <c:pt idx="94">
                  <c:v>-4.4200000000000003E-2</c:v>
                </c:pt>
                <c:pt idx="95">
                  <c:v>-0.17828171538250701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DAB-417F-97BC-A793BC211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56480440"/>
        <c:axId val="17713492"/>
      </c:lineChart>
      <c:catAx>
        <c:axId val="5648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17713492"/>
        <c:crosses val="autoZero"/>
        <c:auto val="1"/>
        <c:lblAlgn val="ctr"/>
        <c:lblOffset val="100"/>
        <c:noMultiLvlLbl val="0"/>
      </c:catAx>
      <c:valAx>
        <c:axId val="1771349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5648044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5917303815284E-2"/>
          <c:y val="0.89409667541557303"/>
          <c:w val="0.92039712427250897"/>
          <c:h val="7.8125546806649196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600" b="1" strike="noStrike" spc="-1">
                <a:solidFill>
                  <a:srgbClr val="000000"/>
                </a:solidFill>
                <a:latin typeface="Calibri"/>
              </a:rPr>
              <a:t>Comparativo Costo de Capital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rgbClr val="2E5F99"/>
                </a:gs>
                <a:gs pos="100000">
                  <a:srgbClr val="3C7AC7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1" strike="noStrike" spc="-1">
                    <a:solidFill>
                      <a:srgbClr val="1F497D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6"/>
                <c:pt idx="0">
                  <c:v>6.1488215148968899E-2</c:v>
                </c:pt>
                <c:pt idx="1">
                  <c:v>2.65464147746119E-2</c:v>
                </c:pt>
                <c:pt idx="2">
                  <c:v>0.02</c:v>
                </c:pt>
                <c:pt idx="3">
                  <c:v>5.0004998028900599E-2</c:v>
                </c:pt>
                <c:pt idx="4">
                  <c:v>5.4442822957429603E-2</c:v>
                </c:pt>
                <c:pt idx="5">
                  <c:v>0.16247745288101001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0</c15:sqref>
                        </c15:formulaRef>
                      </c:ext>
                    </c:extLst>
                    <c:strCache>
                      <c:ptCount val="1"/>
                      <c:pt idx="0">
                        <c:v>Históricos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categories</c15:sqref>
                        </c15:formulaRef>
                      </c:ext>
                    </c:extLst>
                    <c:strCache>
                      <c:ptCount val="6"/>
                      <c:pt idx="0">
                        <c:v>Rl</c:v>
                      </c:pt>
                      <c:pt idx="1">
                        <c:v>Rp</c:v>
                      </c:pt>
                      <c:pt idx="2">
                        <c:v>Rt</c:v>
                      </c:pt>
                      <c:pt idx="3">
                        <c:v>Rm-Rl</c:v>
                      </c:pt>
                      <c:pt idx="4">
                        <c:v>(Rm-Rl)*Bapal</c:v>
                      </c:pt>
                      <c:pt idx="5">
                        <c:v>Costo de Capital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08C-4AD0-B1E0-653D25AB3196}"/>
            </c:ext>
          </c:extLst>
        </c:ser>
        <c:ser>
          <c:idx val="1"/>
          <c:order val="1"/>
          <c:spPr>
            <a:gradFill>
              <a:gsLst>
                <a:gs pos="0">
                  <a:srgbClr val="9C2F2C"/>
                </a:gs>
                <a:gs pos="100000">
                  <a:srgbClr val="CB3D39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1" strike="noStrike" spc="-1">
                    <a:solidFill>
                      <a:srgbClr val="C0504D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1</c:f>
              <c:numCache>
                <c:formatCode>General</c:formatCode>
                <c:ptCount val="6"/>
                <c:pt idx="0">
                  <c:v>3.6737333333333302E-2</c:v>
                </c:pt>
                <c:pt idx="1">
                  <c:v>2.65464147746119E-2</c:v>
                </c:pt>
                <c:pt idx="2">
                  <c:v>0.02</c:v>
                </c:pt>
                <c:pt idx="3">
                  <c:v>7.4755879844536105E-2</c:v>
                </c:pt>
                <c:pt idx="4">
                  <c:v>8.13902868079453E-2</c:v>
                </c:pt>
                <c:pt idx="5">
                  <c:v>0.164674034915891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1</c15:sqref>
                        </c15:formulaRef>
                      </c:ext>
                    </c:extLst>
                    <c:strCache>
                      <c:ptCount val="1"/>
                      <c:pt idx="0">
                        <c:v>Spot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categories</c15:sqref>
                        </c15:formulaRef>
                      </c:ext>
                    </c:extLst>
                    <c:strCache>
                      <c:ptCount val="6"/>
                      <c:pt idx="0">
                        <c:v>Rl</c:v>
                      </c:pt>
                      <c:pt idx="1">
                        <c:v>Rp</c:v>
                      </c:pt>
                      <c:pt idx="2">
                        <c:v>Rt</c:v>
                      </c:pt>
                      <c:pt idx="3">
                        <c:v>Rm-Rl</c:v>
                      </c:pt>
                      <c:pt idx="4">
                        <c:v>(Rm-Rl)*Bapal</c:v>
                      </c:pt>
                      <c:pt idx="5">
                        <c:v>Costo de Capital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08C-4AD0-B1E0-653D25AB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497874"/>
        <c:axId val="64809410"/>
      </c:barChart>
      <c:catAx>
        <c:axId val="1349787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4809410"/>
        <c:crosses val="autoZero"/>
        <c:auto val="1"/>
        <c:lblAlgn val="ctr"/>
        <c:lblOffset val="100"/>
        <c:noMultiLvlLbl val="0"/>
      </c:catAx>
      <c:valAx>
        <c:axId val="6480941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13497874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7.1781343121583505E-2"/>
          <c:y val="0.90408755509334904"/>
          <c:w val="0.87648743907011595"/>
          <c:h val="7.0755212202248299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400" b="1" strike="noStrike" spc="-1">
                <a:solidFill>
                  <a:srgbClr val="000000"/>
                </a:solidFill>
                <a:latin typeface="Calibri"/>
              </a:rPr>
              <a:t>Compounded Value of $ 100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Retornos!$O$12</c:f>
              <c:strCache>
                <c:ptCount val="1"/>
                <c:pt idx="0">
                  <c:v>S&amp;P 500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Retornos!$N$13:$N$108</c:f>
              <c:numCache>
                <c:formatCode>General</c:formatCode>
                <c:ptCount val="96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  <c:pt idx="91">
                  <c:v>2018</c:v>
                </c:pt>
                <c:pt idx="92">
                  <c:v>2019</c:v>
                </c:pt>
                <c:pt idx="93">
                  <c:v>2020</c:v>
                </c:pt>
                <c:pt idx="94">
                  <c:v>2021</c:v>
                </c:pt>
                <c:pt idx="95">
                  <c:v>2022</c:v>
                </c:pt>
              </c:numCache>
            </c:numRef>
          </c:cat>
          <c:val>
            <c:numRef>
              <c:f>Retornos!$O$13:$O$108</c:f>
              <c:numCache>
                <c:formatCode>#,##0;[Red]\(#,##0\)</c:formatCode>
                <c:ptCount val="96"/>
                <c:pt idx="0">
                  <c:v>100</c:v>
                </c:pt>
                <c:pt idx="1">
                  <c:v>143.81115515288789</c:v>
                </c:pt>
                <c:pt idx="2">
                  <c:v>131.87778227633069</c:v>
                </c:pt>
                <c:pt idx="3">
                  <c:v>98.745287812797244</c:v>
                </c:pt>
                <c:pt idx="4">
                  <c:v>55.457773989527261</c:v>
                </c:pt>
                <c:pt idx="5">
                  <c:v>50.664911000008715</c:v>
                </c:pt>
                <c:pt idx="6">
                  <c:v>75.988361031728374</c:v>
                </c:pt>
                <c:pt idx="7">
                  <c:v>75.085189438723376</c:v>
                </c:pt>
                <c:pt idx="8">
                  <c:v>110.18032313054876</c:v>
                </c:pt>
                <c:pt idx="9">
                  <c:v>145.37567579101443</c:v>
                </c:pt>
                <c:pt idx="10">
                  <c:v>94.00466756191787</c:v>
                </c:pt>
                <c:pt idx="11">
                  <c:v>121.53172913465568</c:v>
                </c:pt>
                <c:pt idx="12">
                  <c:v>120.1978397909875</c:v>
                </c:pt>
                <c:pt idx="13">
                  <c:v>107.36927676790189</c:v>
                </c:pt>
                <c:pt idx="14">
                  <c:v>93.656657282615981</c:v>
                </c:pt>
                <c:pt idx="15">
                  <c:v>111.61416273305261</c:v>
                </c:pt>
                <c:pt idx="16">
                  <c:v>139.58613420800162</c:v>
                </c:pt>
                <c:pt idx="17">
                  <c:v>166.15032047534237</c:v>
                </c:pt>
                <c:pt idx="18">
                  <c:v>225.66716689959108</c:v>
                </c:pt>
                <c:pt idx="19">
                  <c:v>206.64534862054896</c:v>
                </c:pt>
                <c:pt idx="20">
                  <c:v>217.39090674881751</c:v>
                </c:pt>
                <c:pt idx="21">
                  <c:v>229.79213442269776</c:v>
                </c:pt>
                <c:pt idx="22">
                  <c:v>271.85150279480575</c:v>
                </c:pt>
                <c:pt idx="23">
                  <c:v>355.5968235411093</c:v>
                </c:pt>
                <c:pt idx="24">
                  <c:v>439.79668599085721</c:v>
                </c:pt>
                <c:pt idx="25">
                  <c:v>519.62413250918678</c:v>
                </c:pt>
                <c:pt idx="26">
                  <c:v>513.3460090986448</c:v>
                </c:pt>
                <c:pt idx="27">
                  <c:v>783.1777209412511</c:v>
                </c:pt>
                <c:pt idx="28">
                  <c:v>1038.4727616197911</c:v>
                </c:pt>
                <c:pt idx="29">
                  <c:v>1115.7300660220108</c:v>
                </c:pt>
                <c:pt idx="30">
                  <c:v>999.05415428605318</c:v>
                </c:pt>
                <c:pt idx="31">
                  <c:v>1435.8401808531248</c:v>
                </c:pt>
                <c:pt idx="32">
                  <c:v>1608.9516371948255</c:v>
                </c:pt>
                <c:pt idx="33">
                  <c:v>1614.3663276511329</c:v>
                </c:pt>
                <c:pt idx="34">
                  <c:v>2044.3965961043968</c:v>
                </c:pt>
                <c:pt idx="35">
                  <c:v>1864.2553972252945</c:v>
                </c:pt>
                <c:pt idx="36">
                  <c:v>2285.7994686007387</c:v>
                </c:pt>
                <c:pt idx="37">
                  <c:v>2661.0238718383353</c:v>
                </c:pt>
                <c:pt idx="38">
                  <c:v>2990.9706741017371</c:v>
                </c:pt>
                <c:pt idx="39">
                  <c:v>2692.742356985706</c:v>
                </c:pt>
                <c:pt idx="40">
                  <c:v>3333.6949185039698</c:v>
                </c:pt>
                <c:pt idx="41">
                  <c:v>3694.2294451635926</c:v>
                </c:pt>
                <c:pt idx="42">
                  <c:v>3389.7742881722156</c:v>
                </c:pt>
                <c:pt idx="43">
                  <c:v>3510.4890625432877</c:v>
                </c:pt>
                <c:pt idx="44">
                  <c:v>4009.7209883373921</c:v>
                </c:pt>
                <c:pt idx="45">
                  <c:v>4761.7587115819979</c:v>
                </c:pt>
                <c:pt idx="46">
                  <c:v>4080.4440162682954</c:v>
                </c:pt>
                <c:pt idx="47">
                  <c:v>3023.5361494891849</c:v>
                </c:pt>
                <c:pt idx="48">
                  <c:v>4142.0974934477572</c:v>
                </c:pt>
                <c:pt idx="49">
                  <c:v>5129.2007057775791</c:v>
                </c:pt>
                <c:pt idx="50">
                  <c:v>4771.1976750535223</c:v>
                </c:pt>
                <c:pt idx="51">
                  <c:v>5081.7684777098466</c:v>
                </c:pt>
                <c:pt idx="52">
                  <c:v>6022.8860912752689</c:v>
                </c:pt>
                <c:pt idx="53">
                  <c:v>7934.263778934157</c:v>
                </c:pt>
                <c:pt idx="54">
                  <c:v>7561.1637327829831</c:v>
                </c:pt>
                <c:pt idx="55">
                  <c:v>9105.0819200356109</c:v>
                </c:pt>
                <c:pt idx="56">
                  <c:v>11138.898259597276</c:v>
                </c:pt>
                <c:pt idx="57">
                  <c:v>11823.510763827131</c:v>
                </c:pt>
                <c:pt idx="58">
                  <c:v>15516.602025374514</c:v>
                </c:pt>
                <c:pt idx="59">
                  <c:v>18386.332207529995</c:v>
                </c:pt>
                <c:pt idx="60">
                  <c:v>19455.078518894356</c:v>
                </c:pt>
                <c:pt idx="61">
                  <c:v>22672.402365298607</c:v>
                </c:pt>
                <c:pt idx="62">
                  <c:v>29808.582644967195</c:v>
                </c:pt>
                <c:pt idx="63">
                  <c:v>28895.113053319914</c:v>
                </c:pt>
                <c:pt idx="64">
                  <c:v>37631.505158637367</c:v>
                </c:pt>
                <c:pt idx="65">
                  <c:v>40451.507787137823</c:v>
                </c:pt>
                <c:pt idx="66">
                  <c:v>44483.330392392374</c:v>
                </c:pt>
                <c:pt idx="67">
                  <c:v>45073.144068086789</c:v>
                </c:pt>
                <c:pt idx="68">
                  <c:v>61838.189655869959</c:v>
                </c:pt>
                <c:pt idx="69">
                  <c:v>75863.688438399608</c:v>
                </c:pt>
                <c:pt idx="70">
                  <c:v>100977.3406906836</c:v>
                </c:pt>
                <c:pt idx="71">
                  <c:v>129592.25231742434</c:v>
                </c:pt>
                <c:pt idx="72">
                  <c:v>156658.04907246618</c:v>
                </c:pt>
                <c:pt idx="73">
                  <c:v>142508.97770141545</c:v>
                </c:pt>
                <c:pt idx="74">
                  <c:v>125622.00708807094</c:v>
                </c:pt>
                <c:pt idx="75">
                  <c:v>98027.816765412776</c:v>
                </c:pt>
                <c:pt idx="76">
                  <c:v>125824.38848080359</c:v>
                </c:pt>
                <c:pt idx="77">
                  <c:v>139341.42061832553</c:v>
                </c:pt>
                <c:pt idx="78">
                  <c:v>146077.85027872198</c:v>
                </c:pt>
                <c:pt idx="79">
                  <c:v>168884.33934842542</c:v>
                </c:pt>
                <c:pt idx="80">
                  <c:v>178147.19823435505</c:v>
                </c:pt>
                <c:pt idx="81">
                  <c:v>113030.22131020631</c:v>
                </c:pt>
                <c:pt idx="82">
                  <c:v>142344.87355944951</c:v>
                </c:pt>
                <c:pt idx="83">
                  <c:v>163441.93862372197</c:v>
                </c:pt>
                <c:pt idx="84">
                  <c:v>166871.56296795403</c:v>
                </c:pt>
                <c:pt idx="85">
                  <c:v>193388.43092558443</c:v>
                </c:pt>
                <c:pt idx="86">
                  <c:v>255553.30808629526</c:v>
                </c:pt>
                <c:pt idx="87">
                  <c:v>162000.72518349701</c:v>
                </c:pt>
                <c:pt idx="88">
                  <c:v>294060.83811089903</c:v>
                </c:pt>
                <c:pt idx="89">
                  <c:v>328584.46388177399</c:v>
                </c:pt>
                <c:pt idx="90">
                  <c:v>399885.97898805601</c:v>
                </c:pt>
                <c:pt idx="91">
                  <c:v>382850.00406044698</c:v>
                </c:pt>
                <c:pt idx="92">
                  <c:v>502417.20816184802</c:v>
                </c:pt>
                <c:pt idx="93">
                  <c:v>592868.14997451496</c:v>
                </c:pt>
                <c:pt idx="94">
                  <c:v>761710.83</c:v>
                </c:pt>
                <c:pt idx="95">
                  <c:v>624534.54633322801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4F2-4B5E-AF0C-15733ACA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9347317"/>
        <c:axId val="49503737"/>
      </c:lineChart>
      <c:lineChart>
        <c:grouping val="standard"/>
        <c:varyColors val="0"/>
        <c:ser>
          <c:idx val="1"/>
          <c:order val="1"/>
          <c:tx>
            <c:strRef>
              <c:f>Retornos!$P$12</c:f>
              <c:strCache>
                <c:ptCount val="1"/>
                <c:pt idx="0">
                  <c:v>3-month T.Bill</c:v>
                </c:pt>
              </c:strCache>
            </c:strRef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Retornos!$N$13:$N$108</c:f>
              <c:numCache>
                <c:formatCode>General</c:formatCode>
                <c:ptCount val="96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  <c:pt idx="91">
                  <c:v>2018</c:v>
                </c:pt>
                <c:pt idx="92">
                  <c:v>2019</c:v>
                </c:pt>
                <c:pt idx="93">
                  <c:v>2020</c:v>
                </c:pt>
                <c:pt idx="94">
                  <c:v>2021</c:v>
                </c:pt>
                <c:pt idx="95">
                  <c:v>2022</c:v>
                </c:pt>
              </c:numCache>
            </c:numRef>
          </c:cat>
          <c:val>
            <c:numRef>
              <c:f>Retornos!$P$13:$P$108</c:f>
              <c:numCache>
                <c:formatCode>#,##0;[Red]\(#,##0\)</c:formatCode>
                <c:ptCount val="96"/>
                <c:pt idx="0">
                  <c:v>100</c:v>
                </c:pt>
                <c:pt idx="1">
                  <c:v>103.08</c:v>
                </c:pt>
                <c:pt idx="2">
                  <c:v>106.337328</c:v>
                </c:pt>
                <c:pt idx="3">
                  <c:v>111.17567642400002</c:v>
                </c:pt>
                <c:pt idx="4">
                  <c:v>113.74383454939441</c:v>
                </c:pt>
                <c:pt idx="5">
                  <c:v>114.96089357907292</c:v>
                </c:pt>
                <c:pt idx="6">
                  <c:v>116.06451815743202</c:v>
                </c:pt>
                <c:pt idx="7">
                  <c:v>116.43882622848975</c:v>
                </c:pt>
                <c:pt idx="8">
                  <c:v>116.64259417438959</c:v>
                </c:pt>
                <c:pt idx="9">
                  <c:v>116.84088658448606</c:v>
                </c:pt>
                <c:pt idx="10">
                  <c:v>117.19433026640414</c:v>
                </c:pt>
                <c:pt idx="11">
                  <c:v>117.28515587236059</c:v>
                </c:pt>
                <c:pt idx="12">
                  <c:v>117.32913780581272</c:v>
                </c:pt>
                <c:pt idx="13">
                  <c:v>117.35847009026418</c:v>
                </c:pt>
                <c:pt idx="14">
                  <c:v>117.45529082808865</c:v>
                </c:pt>
                <c:pt idx="15">
                  <c:v>117.85170243463344</c:v>
                </c:pt>
                <c:pt idx="16">
                  <c:v>118.29953890388505</c:v>
                </c:pt>
                <c:pt idx="17">
                  <c:v>118.74907715171982</c:v>
                </c:pt>
                <c:pt idx="18">
                  <c:v>119.20032364489636</c:v>
                </c:pt>
                <c:pt idx="19">
                  <c:v>119.65328487474697</c:v>
                </c:pt>
                <c:pt idx="20">
                  <c:v>120.33231726641117</c:v>
                </c:pt>
                <c:pt idx="21">
                  <c:v>121.56271521046021</c:v>
                </c:pt>
                <c:pt idx="22">
                  <c:v>122.90294414565554</c:v>
                </c:pt>
                <c:pt idx="23">
                  <c:v>124.34398116576335</c:v>
                </c:pt>
                <c:pt idx="24">
                  <c:v>126.18116348748751</c:v>
                </c:pt>
                <c:pt idx="25">
                  <c:v>128.29154344681575</c:v>
                </c:pt>
                <c:pt idx="26">
                  <c:v>130.71946090654674</c:v>
                </c:pt>
                <c:pt idx="27">
                  <c:v>131.97763571777224</c:v>
                </c:pt>
                <c:pt idx="28">
                  <c:v>134.16846447068727</c:v>
                </c:pt>
                <c:pt idx="29">
                  <c:v>137.59646873791331</c:v>
                </c:pt>
                <c:pt idx="30">
                  <c:v>142.04083467814792</c:v>
                </c:pt>
                <c:pt idx="31">
                  <c:v>144.56561051455202</c:v>
                </c:pt>
                <c:pt idx="32">
                  <c:v>149.2712211368007</c:v>
                </c:pt>
                <c:pt idx="33">
                  <c:v>153.81652982041629</c:v>
                </c:pt>
                <c:pt idx="34">
                  <c:v>157.30431963409424</c:v>
                </c:pt>
                <c:pt idx="35">
                  <c:v>161.67344711193124</c:v>
                </c:pt>
                <c:pt idx="36">
                  <c:v>166.70149131711227</c:v>
                </c:pt>
                <c:pt idx="37">
                  <c:v>172.54437858777706</c:v>
                </c:pt>
                <c:pt idx="38">
                  <c:v>179.27792296216506</c:v>
                </c:pt>
                <c:pt idx="39">
                  <c:v>187.95497443353386</c:v>
                </c:pt>
                <c:pt idx="40">
                  <c:v>196.09812370086672</c:v>
                </c:pt>
                <c:pt idx="41">
                  <c:v>206.41288500753231</c:v>
                </c:pt>
                <c:pt idx="42">
                  <c:v>219.95873058615163</c:v>
                </c:pt>
                <c:pt idx="43">
                  <c:v>234.66297172583589</c:v>
                </c:pt>
                <c:pt idx="44">
                  <c:v>245.31667064218885</c:v>
                </c:pt>
                <c:pt idx="45">
                  <c:v>255.01281204932138</c:v>
                </c:pt>
                <c:pt idx="46">
                  <c:v>272.16242365963825</c:v>
                </c:pt>
                <c:pt idx="47">
                  <c:v>293.32985615976662</c:v>
                </c:pt>
                <c:pt idx="48">
                  <c:v>310.90031454373667</c:v>
                </c:pt>
                <c:pt idx="49">
                  <c:v>326.35206017656043</c:v>
                </c:pt>
                <c:pt idx="50">
                  <c:v>343.08576206211353</c:v>
                </c:pt>
                <c:pt idx="51">
                  <c:v>366.87018251706957</c:v>
                </c:pt>
                <c:pt idx="52">
                  <c:v>403.32790690470335</c:v>
                </c:pt>
                <c:pt idx="53">
                  <c:v>448.5812980594111</c:v>
                </c:pt>
                <c:pt idx="54">
                  <c:v>512.72842368190686</c:v>
                </c:pt>
                <c:pt idx="55">
                  <c:v>569.17982312928484</c:v>
                </c:pt>
                <c:pt idx="56">
                  <c:v>617.26128868813123</c:v>
                </c:pt>
                <c:pt idx="57">
                  <c:v>676.59553006327781</c:v>
                </c:pt>
                <c:pt idx="58">
                  <c:v>727.25562037676571</c:v>
                </c:pt>
                <c:pt idx="59">
                  <c:v>771.14549706650348</c:v>
                </c:pt>
                <c:pt idx="60">
                  <c:v>815.27429813613423</c:v>
                </c:pt>
                <c:pt idx="61">
                  <c:v>867.85949036591489</c:v>
                </c:pt>
                <c:pt idx="62">
                  <c:v>938.24289503459056</c:v>
                </c:pt>
                <c:pt idx="63">
                  <c:v>1009.0802336097021</c:v>
                </c:pt>
                <c:pt idx="64">
                  <c:v>1065.6896347152065</c:v>
                </c:pt>
                <c:pt idx="65">
                  <c:v>1101.976366777259</c:v>
                </c:pt>
                <c:pt idx="66">
                  <c:v>1134.8428119163907</c:v>
                </c:pt>
                <c:pt idx="67">
                  <c:v>1180.0662979712588</c:v>
                </c:pt>
                <c:pt idx="68">
                  <c:v>1245.1469543043738</c:v>
                </c:pt>
                <c:pt idx="69">
                  <c:v>1307.684460084311</c:v>
                </c:pt>
                <c:pt idx="70">
                  <c:v>1373.7552174300708</c:v>
                </c:pt>
                <c:pt idx="71">
                  <c:v>1438.6994953340775</c:v>
                </c:pt>
                <c:pt idx="72">
                  <c:v>1503.5848425736442</c:v>
                </c:pt>
                <c:pt idx="73">
                  <c:v>1590.2289191269506</c:v>
                </c:pt>
                <c:pt idx="74">
                  <c:v>1648.6300761818877</c:v>
                </c:pt>
                <c:pt idx="75">
                  <c:v>1675.9561196946024</c:v>
                </c:pt>
                <c:pt idx="76">
                  <c:v>1693.2184677274568</c:v>
                </c:pt>
                <c:pt idx="77">
                  <c:v>1714.0027244188113</c:v>
                </c:pt>
                <c:pt idx="78">
                  <c:v>1765.5942064238177</c:v>
                </c:pt>
                <c:pt idx="79">
                  <c:v>1848.1798754292918</c:v>
                </c:pt>
                <c:pt idx="80">
                  <c:v>1933.9816261460965</c:v>
                </c:pt>
                <c:pt idx="81">
                  <c:v>1964.6352349205119</c:v>
                </c:pt>
                <c:pt idx="82">
                  <c:v>1967.2874924876546</c:v>
                </c:pt>
                <c:pt idx="83">
                  <c:v>1969.8449662278888</c:v>
                </c:pt>
                <c:pt idx="84">
                  <c:v>1970.4359197177571</c:v>
                </c:pt>
                <c:pt idx="85">
                  <c:v>1971.4211376776159</c:v>
                </c:pt>
                <c:pt idx="86">
                  <c:v>1972.7222756284834</c:v>
                </c:pt>
                <c:pt idx="87">
                  <c:v>1973.76781843457</c:v>
                </c:pt>
                <c:pt idx="88">
                  <c:v>1977.91273085328</c:v>
                </c:pt>
                <c:pt idx="89">
                  <c:v>1988.0000857806299</c:v>
                </c:pt>
                <c:pt idx="90">
                  <c:v>2015.6332869729799</c:v>
                </c:pt>
                <c:pt idx="91">
                  <c:v>2063.4037958742401</c:v>
                </c:pt>
                <c:pt idx="92">
                  <c:v>2079.9432826897801</c:v>
                </c:pt>
                <c:pt idx="93">
                  <c:v>2081.8152316442001</c:v>
                </c:pt>
                <c:pt idx="94">
                  <c:v>2083.06</c:v>
                </c:pt>
                <c:pt idx="95">
                  <c:v>2140.5081359013898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4F2-4B5E-AF0C-15733ACA0EFF}"/>
            </c:ext>
          </c:extLst>
        </c:ser>
        <c:ser>
          <c:idx val="2"/>
          <c:order val="2"/>
          <c:tx>
            <c:strRef>
              <c:f>Retornos!$Q$12</c:f>
              <c:strCache>
                <c:ptCount val="1"/>
                <c:pt idx="0">
                  <c:v>10-year T. Bond</c:v>
                </c:pt>
              </c:strCache>
            </c:strRef>
          </c:tx>
          <c:spPr>
            <a:ln w="28440" cap="rnd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Retornos!$N$13:$N$108</c:f>
              <c:numCache>
                <c:formatCode>General</c:formatCode>
                <c:ptCount val="96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  <c:pt idx="91">
                  <c:v>2018</c:v>
                </c:pt>
                <c:pt idx="92">
                  <c:v>2019</c:v>
                </c:pt>
                <c:pt idx="93">
                  <c:v>2020</c:v>
                </c:pt>
                <c:pt idx="94">
                  <c:v>2021</c:v>
                </c:pt>
                <c:pt idx="95">
                  <c:v>2022</c:v>
                </c:pt>
              </c:numCache>
            </c:numRef>
          </c:cat>
          <c:val>
            <c:numRef>
              <c:f>Retornos!$Q$13:$Q$108</c:f>
              <c:numCache>
                <c:formatCode>#,##0;[Red]\(#,##0\)</c:formatCode>
                <c:ptCount val="96"/>
                <c:pt idx="0">
                  <c:v>100</c:v>
                </c:pt>
                <c:pt idx="1">
                  <c:v>100.83547085897993</c:v>
                </c:pt>
                <c:pt idx="2">
                  <c:v>105.074396573995</c:v>
                </c:pt>
                <c:pt idx="3">
                  <c:v>109.84575287805193</c:v>
                </c:pt>
                <c:pt idx="4">
                  <c:v>107.03495828159154</c:v>
                </c:pt>
                <c:pt idx="5">
                  <c:v>116.44365970167279</c:v>
                </c:pt>
                <c:pt idx="6">
                  <c:v>118.60400641974435</c:v>
                </c:pt>
                <c:pt idx="7">
                  <c:v>128.04896841358894</c:v>
                </c:pt>
                <c:pt idx="8">
                  <c:v>133.77537939837757</c:v>
                </c:pt>
                <c:pt idx="9">
                  <c:v>140.4880612585456</c:v>
                </c:pt>
                <c:pt idx="10">
                  <c:v>142.42559681966594</c:v>
                </c:pt>
                <c:pt idx="11">
                  <c:v>148.42634118715418</c:v>
                </c:pt>
                <c:pt idx="12">
                  <c:v>154.97529933818757</c:v>
                </c:pt>
                <c:pt idx="13">
                  <c:v>163.34781136372007</c:v>
                </c:pt>
                <c:pt idx="14">
                  <c:v>160.0445958674045</c:v>
                </c:pt>
                <c:pt idx="15">
                  <c:v>163.71740846371824</c:v>
                </c:pt>
                <c:pt idx="16">
                  <c:v>167.79397193446482</c:v>
                </c:pt>
                <c:pt idx="17">
                  <c:v>172.11904807734297</c:v>
                </c:pt>
                <c:pt idx="18">
                  <c:v>178.66717499115143</c:v>
                </c:pt>
                <c:pt idx="19">
                  <c:v>184.25655340056949</c:v>
                </c:pt>
                <c:pt idx="20">
                  <c:v>185.95115503756207</c:v>
                </c:pt>
                <c:pt idx="21">
                  <c:v>189.57913076515149</c:v>
                </c:pt>
                <c:pt idx="22">
                  <c:v>198.42012543806027</c:v>
                </c:pt>
                <c:pt idx="23">
                  <c:v>199.2725298476397</c:v>
                </c:pt>
                <c:pt idx="24">
                  <c:v>198.68405032411223</c:v>
                </c:pt>
                <c:pt idx="25">
                  <c:v>203.19019701923784</c:v>
                </c:pt>
                <c:pt idx="26">
                  <c:v>211.61007420547725</c:v>
                </c:pt>
                <c:pt idx="27">
                  <c:v>218.57162973953021</c:v>
                </c:pt>
                <c:pt idx="28">
                  <c:v>215.65055295510001</c:v>
                </c:pt>
                <c:pt idx="29">
                  <c:v>210.78596424464294</c:v>
                </c:pt>
                <c:pt idx="30">
                  <c:v>225.1131133132337</c:v>
                </c:pt>
                <c:pt idx="31">
                  <c:v>220.38794814929318</c:v>
                </c:pt>
                <c:pt idx="32">
                  <c:v>214.55509182220001</c:v>
                </c:pt>
                <c:pt idx="33">
                  <c:v>239.52823965399492</c:v>
                </c:pt>
                <c:pt idx="34">
                  <c:v>244.46472698517951</c:v>
                </c:pt>
                <c:pt idx="35">
                  <c:v>258.38343391259224</c:v>
                </c:pt>
                <c:pt idx="36">
                  <c:v>262.73502971192971</c:v>
                </c:pt>
                <c:pt idx="37">
                  <c:v>272.52996211138338</c:v>
                </c:pt>
                <c:pt idx="38">
                  <c:v>274.48905762558712</c:v>
                </c:pt>
                <c:pt idx="39">
                  <c:v>282.47103728732282</c:v>
                </c:pt>
                <c:pt idx="40">
                  <c:v>278.00624077201667</c:v>
                </c:pt>
                <c:pt idx="41">
                  <c:v>287.10988788587986</c:v>
                </c:pt>
                <c:pt idx="42">
                  <c:v>272.71405650183527</c:v>
                </c:pt>
                <c:pt idx="43">
                  <c:v>318.40657993094027</c:v>
                </c:pt>
                <c:pt idx="44">
                  <c:v>349.56870273914302</c:v>
                </c:pt>
                <c:pt idx="45">
                  <c:v>359.4211185221472</c:v>
                </c:pt>
                <c:pt idx="46">
                  <c:v>372.5711317591211</c:v>
                </c:pt>
                <c:pt idx="47">
                  <c:v>379.98011367377768</c:v>
                </c:pt>
                <c:pt idx="48">
                  <c:v>393.67936041117792</c:v>
                </c:pt>
                <c:pt idx="49">
                  <c:v>456.60727690839906</c:v>
                </c:pt>
                <c:pt idx="50">
                  <c:v>462.49733090970159</c:v>
                </c:pt>
                <c:pt idx="51">
                  <c:v>458.90104096930963</c:v>
                </c:pt>
                <c:pt idx="52">
                  <c:v>461.97898346523783</c:v>
                </c:pt>
                <c:pt idx="53">
                  <c:v>448.16699336164061</c:v>
                </c:pt>
                <c:pt idx="54">
                  <c:v>484.91317021175587</c:v>
                </c:pt>
                <c:pt idx="55">
                  <c:v>644.03524241645732</c:v>
                </c:pt>
                <c:pt idx="56">
                  <c:v>664.64571907431787</c:v>
                </c:pt>
                <c:pt idx="57">
                  <c:v>755.92393727227261</c:v>
                </c:pt>
                <c:pt idx="58">
                  <c:v>950.29079053967587</c:v>
                </c:pt>
                <c:pt idx="59">
                  <c:v>1181.0614505867347</c:v>
                </c:pt>
                <c:pt idx="60">
                  <c:v>1122.4747917679786</c:v>
                </c:pt>
                <c:pt idx="61">
                  <c:v>1214.7825820879677</c:v>
                </c:pt>
                <c:pt idx="62">
                  <c:v>1429.7219259170226</c:v>
                </c:pt>
                <c:pt idx="63">
                  <c:v>1518.8704542240564</c:v>
                </c:pt>
                <c:pt idx="64">
                  <c:v>1746.7695237115929</c:v>
                </c:pt>
                <c:pt idx="65">
                  <c:v>1910.295751271525</c:v>
                </c:pt>
                <c:pt idx="66">
                  <c:v>2181.7670703142162</c:v>
                </c:pt>
                <c:pt idx="67">
                  <c:v>2006.4259659479494</c:v>
                </c:pt>
                <c:pt idx="68">
                  <c:v>2477.5504351330719</c:v>
                </c:pt>
                <c:pt idx="69">
                  <c:v>2512.9449137348442</c:v>
                </c:pt>
                <c:pt idx="70">
                  <c:v>2762.709782399113</c:v>
                </c:pt>
                <c:pt idx="71">
                  <c:v>3174.9456417989786</c:v>
                </c:pt>
                <c:pt idx="72">
                  <c:v>2912.8788088601232</c:v>
                </c:pt>
                <c:pt idx="73">
                  <c:v>3398.0265555148731</c:v>
                </c:pt>
                <c:pt idx="74">
                  <c:v>3587.3707520469679</c:v>
                </c:pt>
                <c:pt idx="75">
                  <c:v>4129.6520779735783</c:v>
                </c:pt>
                <c:pt idx="76">
                  <c:v>4145.1514298492748</c:v>
                </c:pt>
                <c:pt idx="77">
                  <c:v>4331.2970695441163</c:v>
                </c:pt>
                <c:pt idx="78">
                  <c:v>4455.49844059919</c:v>
                </c:pt>
                <c:pt idx="79">
                  <c:v>4542.8708203457973</c:v>
                </c:pt>
                <c:pt idx="80">
                  <c:v>5006.6943844844354</c:v>
                </c:pt>
                <c:pt idx="81">
                  <c:v>6013.1040377978898</c:v>
                </c:pt>
                <c:pt idx="82">
                  <c:v>5344.645583046612</c:v>
                </c:pt>
                <c:pt idx="83">
                  <c:v>5796.9594048792023</c:v>
                </c:pt>
                <c:pt idx="84">
                  <c:v>6726.5212652343662</c:v>
                </c:pt>
                <c:pt idx="85">
                  <c:v>6926.404686247557</c:v>
                </c:pt>
                <c:pt idx="86">
                  <c:v>6295.7854066132559</c:v>
                </c:pt>
                <c:pt idx="87">
                  <c:v>7561.31885479836</c:v>
                </c:pt>
                <c:pt idx="88">
                  <c:v>7061.8876309399102</c:v>
                </c:pt>
                <c:pt idx="89">
                  <c:v>7110.65352915739</c:v>
                </c:pt>
                <c:pt idx="90">
                  <c:v>7309.8738660425097</c:v>
                </c:pt>
                <c:pt idx="91">
                  <c:v>7308.6536737016304</c:v>
                </c:pt>
                <c:pt idx="92">
                  <c:v>8012.8885538781296</c:v>
                </c:pt>
                <c:pt idx="93">
                  <c:v>8920.9008833408607</c:v>
                </c:pt>
                <c:pt idx="94">
                  <c:v>8526.9500000000007</c:v>
                </c:pt>
                <c:pt idx="95">
                  <c:v>7006.7514067499797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4F2-4B5E-AF0C-15733ACA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9282538"/>
        <c:axId val="46393605"/>
      </c:lineChart>
      <c:catAx>
        <c:axId val="9934731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49503737"/>
        <c:crosses val="autoZero"/>
        <c:auto val="1"/>
        <c:lblAlgn val="ctr"/>
        <c:lblOffset val="100"/>
        <c:noMultiLvlLbl val="0"/>
      </c:catAx>
      <c:valAx>
        <c:axId val="4950373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;[Red]\(#,##0\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99347317"/>
        <c:crosses val="autoZero"/>
        <c:crossBetween val="between"/>
      </c:valAx>
      <c:catAx>
        <c:axId val="9928253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393605"/>
        <c:crosses val="autoZero"/>
        <c:auto val="1"/>
        <c:lblAlgn val="ctr"/>
        <c:lblOffset val="100"/>
        <c:noMultiLvlLbl val="0"/>
      </c:catAx>
      <c:valAx>
        <c:axId val="46393605"/>
        <c:scaling>
          <c:orientation val="minMax"/>
        </c:scaling>
        <c:delete val="0"/>
        <c:axPos val="r"/>
        <c:numFmt formatCode="#,##0;[Red]\(#,##0\)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99282538"/>
        <c:crosses val="max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7.0825638438649197E-2"/>
          <c:y val="0.89409667541557303"/>
          <c:w val="0.86577676397692604"/>
          <c:h val="7.8125546806649196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600" b="1" strike="noStrike" spc="-1">
                <a:solidFill>
                  <a:srgbClr val="000000"/>
                </a:solidFill>
                <a:latin typeface="Calibri"/>
              </a:rPr>
              <a:t>Comparativo Costo de Capital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Retornos!$N$151</c:f>
              <c:strCache>
                <c:ptCount val="1"/>
                <c:pt idx="0">
                  <c:v>Históricos</c:v>
                </c:pt>
              </c:strCache>
            </c:strRef>
          </c:tx>
          <c:spPr>
            <a:gradFill>
              <a:gsLst>
                <a:gs pos="0">
                  <a:srgbClr val="2E5F99"/>
                </a:gs>
                <a:gs pos="100000">
                  <a:srgbClr val="3C7AC7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1" strike="noStrike" spc="-1">
                    <a:solidFill>
                      <a:srgbClr val="1F497D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Retornos!$M$152:$M$157</c:f>
              <c:strCache>
                <c:ptCount val="6"/>
                <c:pt idx="0">
                  <c:v>Rl</c:v>
                </c:pt>
                <c:pt idx="1">
                  <c:v>Rp</c:v>
                </c:pt>
                <c:pt idx="2">
                  <c:v>Rt</c:v>
                </c:pt>
                <c:pt idx="3">
                  <c:v>Rm-Rl</c:v>
                </c:pt>
                <c:pt idx="4">
                  <c:v>(Rm-Rl)*Bapal</c:v>
                </c:pt>
                <c:pt idx="5">
                  <c:v>Costo de Capital</c:v>
                </c:pt>
              </c:strCache>
            </c:strRef>
          </c:cat>
          <c:val>
            <c:numRef>
              <c:f>Retornos!$N$152:$N$157</c:f>
              <c:numCache>
                <c:formatCode>0.00%</c:formatCode>
                <c:ptCount val="6"/>
                <c:pt idx="0">
                  <c:v>6.148821514896885E-2</c:v>
                </c:pt>
                <c:pt idx="1">
                  <c:v>2.65464147746119E-2</c:v>
                </c:pt>
                <c:pt idx="2">
                  <c:v>0.02</c:v>
                </c:pt>
                <c:pt idx="3">
                  <c:v>5.0004998028900571E-2</c:v>
                </c:pt>
                <c:pt idx="4">
                  <c:v>5.4442822957429707E-2</c:v>
                </c:pt>
                <c:pt idx="5">
                  <c:v>0.16247745288101045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2-44A7-8DC6-57864ED5BE8D}"/>
            </c:ext>
          </c:extLst>
        </c:ser>
        <c:ser>
          <c:idx val="1"/>
          <c:order val="1"/>
          <c:tx>
            <c:strRef>
              <c:f>Retornos!$O$151</c:f>
              <c:strCache>
                <c:ptCount val="1"/>
                <c:pt idx="0">
                  <c:v>Spot</c:v>
                </c:pt>
              </c:strCache>
            </c:strRef>
          </c:tx>
          <c:spPr>
            <a:gradFill>
              <a:gsLst>
                <a:gs pos="0">
                  <a:srgbClr val="9C2F2C"/>
                </a:gs>
                <a:gs pos="100000">
                  <a:srgbClr val="CB3D39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1" strike="noStrike" spc="-1">
                    <a:solidFill>
                      <a:srgbClr val="C0504D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Retornos!$M$152:$M$157</c:f>
              <c:strCache>
                <c:ptCount val="6"/>
                <c:pt idx="0">
                  <c:v>Rl</c:v>
                </c:pt>
                <c:pt idx="1">
                  <c:v>Rp</c:v>
                </c:pt>
                <c:pt idx="2">
                  <c:v>Rt</c:v>
                </c:pt>
                <c:pt idx="3">
                  <c:v>Rm-Rl</c:v>
                </c:pt>
                <c:pt idx="4">
                  <c:v>(Rm-Rl)*Bapal</c:v>
                </c:pt>
                <c:pt idx="5">
                  <c:v>Costo de Capital</c:v>
                </c:pt>
              </c:strCache>
            </c:strRef>
          </c:cat>
          <c:val>
            <c:numRef>
              <c:f>Retornos!$O$152:$O$157</c:f>
              <c:numCache>
                <c:formatCode>0.00%</c:formatCode>
                <c:ptCount val="6"/>
                <c:pt idx="0">
                  <c:v>3.673733333333333E-2</c:v>
                </c:pt>
                <c:pt idx="1">
                  <c:v>2.65464147746119E-2</c:v>
                </c:pt>
                <c:pt idx="2">
                  <c:v>0.02</c:v>
                </c:pt>
                <c:pt idx="3">
                  <c:v>7.4755879844536091E-2</c:v>
                </c:pt>
                <c:pt idx="4">
                  <c:v>8.1390286807945481E-2</c:v>
                </c:pt>
                <c:pt idx="5">
                  <c:v>0.16467403491589072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2-44A7-8DC6-57864ED5B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84754602"/>
        <c:axId val="99466677"/>
      </c:barChart>
      <c:catAx>
        <c:axId val="8475460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99466677"/>
        <c:crosses val="autoZero"/>
        <c:auto val="1"/>
        <c:lblAlgn val="ctr"/>
        <c:lblOffset val="100"/>
        <c:noMultiLvlLbl val="0"/>
      </c:catAx>
      <c:valAx>
        <c:axId val="99466677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84754602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7.1781343121583505E-2"/>
          <c:y val="0.90408755509334904"/>
          <c:w val="0.87648743907011595"/>
          <c:h val="7.0755212202248299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400" b="1" strike="noStrike" spc="18">
                <a:solidFill>
                  <a:srgbClr val="000000"/>
                </a:solidFill>
                <a:latin typeface="Calibri"/>
              </a:defRPr>
            </a:pPr>
            <a:r>
              <a:rPr lang="en-US" sz="1400" b="1" strike="noStrike" spc="18">
                <a:solidFill>
                  <a:srgbClr val="000000"/>
                </a:solidFill>
                <a:latin typeface="Calibri"/>
              </a:rPr>
              <a:t>Promedio Geométricos</a:t>
            </a:r>
          </a:p>
        </c:rich>
      </c:tx>
      <c:layout>
        <c:manualLayout>
          <c:xMode val="edge"/>
          <c:yMode val="edge"/>
          <c:x val="0.32597928860873499"/>
          <c:y val="1.11876075731497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61252974850501"/>
          <c:y val="0.25283993115318398"/>
          <c:w val="0.78175853862481504"/>
          <c:h val="0.346127366609294"/>
        </c:manualLayout>
      </c:layout>
      <c:lineChart>
        <c:grouping val="standard"/>
        <c:varyColors val="0"/>
        <c:ser>
          <c:idx val="0"/>
          <c:order val="0"/>
          <c:tx>
            <c:strRef>
              <c:f>Retornos!$H$134</c:f>
              <c:strCache>
                <c:ptCount val="1"/>
                <c:pt idx="0">
                  <c:v>S&amp;P 500</c:v>
                </c:pt>
              </c:strCache>
            </c:strRef>
          </c:tx>
          <c:spPr>
            <a:ln w="22320" cap="rnd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Retornos!$G$135:$G$140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93</c:v>
                </c:pt>
              </c:numCache>
            </c:numRef>
          </c:cat>
          <c:val>
            <c:numRef>
              <c:f>Retornos!$H$135:$H$140</c:f>
              <c:numCache>
                <c:formatCode>0.00%</c:formatCode>
                <c:ptCount val="6"/>
                <c:pt idx="0">
                  <c:v>0.12437866854698432</c:v>
                </c:pt>
                <c:pt idx="1">
                  <c:v>9.7009419849025447E-2</c:v>
                </c:pt>
                <c:pt idx="2">
                  <c:v>9.5521045731461918E-2</c:v>
                </c:pt>
                <c:pt idx="3">
                  <c:v>0.11149321317786942</c:v>
                </c:pt>
                <c:pt idx="4">
                  <c:v>0.10244207952869155</c:v>
                </c:pt>
                <c:pt idx="5">
                  <c:v>9.6360110485247841E-2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64B-4D45-AD3D-0D77D7D7EC39}"/>
            </c:ext>
          </c:extLst>
        </c:ser>
        <c:ser>
          <c:idx val="1"/>
          <c:order val="1"/>
          <c:tx>
            <c:strRef>
              <c:f>Retornos!$I$134</c:f>
              <c:strCache>
                <c:ptCount val="1"/>
                <c:pt idx="0">
                  <c:v>3-month T.Bill</c:v>
                </c:pt>
              </c:strCache>
            </c:strRef>
          </c:tx>
          <c:spPr>
            <a:ln w="22320" cap="rnd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Retornos!$G$135:$G$140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93</c:v>
                </c:pt>
              </c:numCache>
            </c:numRef>
          </c:cat>
          <c:val>
            <c:numRef>
              <c:f>Retornos!$I$135:$I$140</c:f>
              <c:numCache>
                <c:formatCode>0.00%</c:formatCode>
                <c:ptCount val="6"/>
                <c:pt idx="0">
                  <c:v>8.2628076249748883E-3</c:v>
                </c:pt>
                <c:pt idx="1">
                  <c:v>1.2308100200318473E-2</c:v>
                </c:pt>
                <c:pt idx="2">
                  <c:v>2.2377979225385536E-2</c:v>
                </c:pt>
                <c:pt idx="3">
                  <c:v>3.3669458880283276E-2</c:v>
                </c:pt>
                <c:pt idx="4">
                  <c:v>4.3467909999429954E-2</c:v>
                </c:pt>
                <c:pt idx="5">
                  <c:v>3.2774344351723661E-2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64B-4D45-AD3D-0D77D7D7EC39}"/>
            </c:ext>
          </c:extLst>
        </c:ser>
        <c:ser>
          <c:idx val="2"/>
          <c:order val="2"/>
          <c:tx>
            <c:strRef>
              <c:f>Retornos!$J$134</c:f>
              <c:strCache>
                <c:ptCount val="1"/>
                <c:pt idx="0">
                  <c:v>10-year T. Bond</c:v>
                </c:pt>
              </c:strCache>
            </c:strRef>
          </c:tx>
          <c:spPr>
            <a:ln w="22320" cap="rnd">
              <a:solidFill>
                <a:srgbClr val="77933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Retornos!$G$135:$G$140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93</c:v>
                </c:pt>
              </c:numCache>
            </c:numRef>
          </c:cat>
          <c:val>
            <c:numRef>
              <c:f>Retornos!$J$135:$J$140</c:f>
              <c:numCache>
                <c:formatCode>0.00%</c:formatCode>
                <c:ptCount val="6"/>
                <c:pt idx="0">
                  <c:v>1.1539950036607571E-3</c:v>
                </c:pt>
                <c:pt idx="1">
                  <c:v>2.6786528976298074E-2</c:v>
                </c:pt>
                <c:pt idx="2">
                  <c:v>4.4272568762560915E-2</c:v>
                </c:pt>
                <c:pt idx="3">
                  <c:v>6.148821514896885E-2</c:v>
                </c:pt>
                <c:pt idx="4">
                  <c:v>6.1202494941573704E-2</c:v>
                </c:pt>
                <c:pt idx="5">
                  <c:v>4.5746673271922278E-2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64B-4D45-AD3D-0D77D7D7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89524101"/>
        <c:axId val="71059136"/>
      </c:lineChart>
      <c:catAx>
        <c:axId val="8952410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n-US" sz="8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 sz="800" b="1" strike="noStrike" spc="-1">
                    <a:solidFill>
                      <a:srgbClr val="000000"/>
                    </a:solidFill>
                    <a:latin typeface="Calibri"/>
                  </a:rPr>
                  <a:t>Duración de la Serie</a:t>
                </a:r>
              </a:p>
            </c:rich>
          </c:tx>
          <c:layout>
            <c:manualLayout>
              <c:xMode val="edge"/>
              <c:yMode val="edge"/>
              <c:x val="0.40219978130829098"/>
              <c:y val="0.9123924268502580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18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71059136"/>
        <c:crosses val="autoZero"/>
        <c:auto val="1"/>
        <c:lblAlgn val="ctr"/>
        <c:lblOffset val="100"/>
        <c:noMultiLvlLbl val="0"/>
      </c:catAx>
      <c:valAx>
        <c:axId val="71059136"/>
        <c:scaling>
          <c:orientation val="minMax"/>
        </c:scaling>
        <c:delete val="0"/>
        <c:axPos val="l"/>
        <c:numFmt formatCode="0.0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1" strike="noStrike" spc="18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89524101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rgbClr val="FFFFFF"/>
            </a:gs>
            <a:gs pos="100000">
              <a:srgbClr val="F2F2F2"/>
            </a:gs>
          </a:gsLst>
          <a:lin ang="5400000"/>
        </a:gradFill>
        <a:ln w="0">
          <a:noFill/>
        </a:ln>
      </c:spPr>
    </c:plotArea>
    <c:legend>
      <c:legendPos val="t"/>
      <c:layout>
        <c:manualLayout>
          <c:xMode val="edge"/>
          <c:yMode val="edge"/>
          <c:x val="5.8957788113931299E-2"/>
          <c:y val="0.125633862598858"/>
          <c:w val="0.91277647696693998"/>
          <c:h val="8.3422212603365895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CO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595959"/>
                </a:solidFill>
                <a:latin typeface="Calibri"/>
              </a:rPr>
              <a:t>Inversiones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Ppto!$D$191:$N$191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Ppto!$D$198:$N$198</c:f>
              <c:numCache>
                <c:formatCode>#,##0;[Red]\(#,##0\)</c:formatCode>
                <c:ptCount val="11"/>
                <c:pt idx="0">
                  <c:v>4140950.4948296007</c:v>
                </c:pt>
                <c:pt idx="1">
                  <c:v>0</c:v>
                </c:pt>
                <c:pt idx="2">
                  <c:v>0</c:v>
                </c:pt>
                <c:pt idx="3">
                  <c:v>2704.6095427086843</c:v>
                </c:pt>
                <c:pt idx="4">
                  <c:v>0</c:v>
                </c:pt>
                <c:pt idx="5">
                  <c:v>0</c:v>
                </c:pt>
                <c:pt idx="6">
                  <c:v>3169.7827682415877</c:v>
                </c:pt>
                <c:pt idx="7">
                  <c:v>0</c:v>
                </c:pt>
                <c:pt idx="8">
                  <c:v>0</c:v>
                </c:pt>
                <c:pt idx="9">
                  <c:v>3686.7246341957857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2-4625-9357-ECDAB66F1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23812"/>
        <c:axId val="45875114"/>
      </c:barChart>
      <c:catAx>
        <c:axId val="6482381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595959"/>
                    </a:solidFill>
                    <a:latin typeface="Calibri"/>
                  </a:rPr>
                  <a:t>Año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45875114"/>
        <c:crosses val="autoZero"/>
        <c:auto val="1"/>
        <c:lblAlgn val="ctr"/>
        <c:lblOffset val="100"/>
        <c:noMultiLvlLbl val="0"/>
      </c:catAx>
      <c:valAx>
        <c:axId val="4587511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595959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;[Red]\(#,##0\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648238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CO" sz="1400" b="0" strike="noStrike" spc="-1">
                <a:solidFill>
                  <a:srgbClr val="595959"/>
                </a:solidFill>
                <a:latin typeface="Calibri"/>
              </a:rPr>
              <a:t>Capital Empleado Operativo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EEFFs!$B$99</c:f>
              <c:strCache>
                <c:ptCount val="1"/>
                <c:pt idx="0">
                  <c:v>Capital Empleado Operativo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EEFFs!$D$88:$N$88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EEFFs!$D$99:$N$99</c:f>
              <c:numCache>
                <c:formatCode>#,##0;[Red]\(#,##0\)</c:formatCode>
                <c:ptCount val="11"/>
                <c:pt idx="0">
                  <c:v>4155443.8215615042</c:v>
                </c:pt>
                <c:pt idx="1">
                  <c:v>3640374.9810951361</c:v>
                </c:pt>
                <c:pt idx="2">
                  <c:v>3454510.8043067679</c:v>
                </c:pt>
                <c:pt idx="3">
                  <c:v>3040747.9584351191</c:v>
                </c:pt>
                <c:pt idx="4">
                  <c:v>2638037.3702844251</c:v>
                </c:pt>
                <c:pt idx="5">
                  <c:v>2194879.6869061962</c:v>
                </c:pt>
                <c:pt idx="6">
                  <c:v>1799925.2168354718</c:v>
                </c:pt>
                <c:pt idx="7">
                  <c:v>1381526.7515756986</c:v>
                </c:pt>
                <c:pt idx="8">
                  <c:v>981286.93039527279</c:v>
                </c:pt>
                <c:pt idx="9">
                  <c:v>535844.37767683854</c:v>
                </c:pt>
                <c:pt idx="10">
                  <c:v>141145.99257402762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B-4901-BEF4-94C5E780F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0344"/>
        <c:axId val="42150998"/>
      </c:barChart>
      <c:catAx>
        <c:axId val="355034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CO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595959"/>
                    </a:solidFill>
                    <a:latin typeface="Calibri"/>
                  </a:rPr>
                  <a:t>Año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42150998"/>
        <c:crosses val="autoZero"/>
        <c:auto val="1"/>
        <c:lblAlgn val="ctr"/>
        <c:lblOffset val="100"/>
        <c:noMultiLvlLbl val="0"/>
      </c:catAx>
      <c:valAx>
        <c:axId val="4215099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595959"/>
                    </a:solidFill>
                    <a:latin typeface="Calibri"/>
                  </a:rPr>
                  <a:t>Miles de pesos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;[Red]\(#,##0\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355034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Ppto!$J$152" lockText="1" noThreeD="1"/>
</file>

<file path=xl/ctrlProps/ctrlProp2.xml><?xml version="1.0" encoding="utf-8"?>
<formControlPr xmlns="http://schemas.microsoft.com/office/spreadsheetml/2009/9/main" objectType="CheckBox" fmlaLink="Retornos!$J$152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chart" Target="../charts/chart20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chart" Target="../charts/chart19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Relationship Id="rId1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259560</xdr:colOff>
      <xdr:row>26</xdr:row>
      <xdr:rowOff>182880</xdr:rowOff>
    </xdr:from>
    <xdr:to>
      <xdr:col>3</xdr:col>
      <xdr:colOff>254160</xdr:colOff>
      <xdr:row>28</xdr:row>
      <xdr:rowOff>9360</xdr:rowOff>
    </xdr:to>
    <xdr:sp macro="" textlink="">
      <xdr:nvSpPr>
        <xdr:cNvPr id="2" name="Drop Dow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Button 2" descr="Ajuste Gener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anchor="ctr">
          <a:noAutofit/>
        </a:bodyPr>
        <a:lstStyle/>
        <a:p>
          <a:r>
            <a:t>Ajuste General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15</xdr:row>
      <xdr:rowOff>0</xdr:rowOff>
    </xdr:from>
    <xdr:to>
      <xdr:col>22</xdr:col>
      <xdr:colOff>816120</xdr:colOff>
      <xdr:row>35</xdr:row>
      <xdr:rowOff>7200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222120</xdr:colOff>
      <xdr:row>42</xdr:row>
      <xdr:rowOff>65160</xdr:rowOff>
    </xdr:from>
    <xdr:to>
      <xdr:col>26</xdr:col>
      <xdr:colOff>245520</xdr:colOff>
      <xdr:row>59</xdr:row>
      <xdr:rowOff>109080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121</xdr:row>
      <xdr:rowOff>0</xdr:rowOff>
    </xdr:from>
    <xdr:to>
      <xdr:col>24</xdr:col>
      <xdr:colOff>329760</xdr:colOff>
      <xdr:row>133</xdr:row>
      <xdr:rowOff>163440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158</xdr:row>
      <xdr:rowOff>0</xdr:rowOff>
    </xdr:from>
    <xdr:to>
      <xdr:col>14</xdr:col>
      <xdr:colOff>444960</xdr:colOff>
      <xdr:row>172</xdr:row>
      <xdr:rowOff>163440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250200</xdr:colOff>
      <xdr:row>128</xdr:row>
      <xdr:rowOff>70920</xdr:rowOff>
    </xdr:from>
    <xdr:to>
      <xdr:col>7</xdr:col>
      <xdr:colOff>480960</xdr:colOff>
      <xdr:row>131</xdr:row>
      <xdr:rowOff>101880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784320" y="20831400"/>
          <a:ext cx="1485720" cy="511200"/>
        </a:xfrm>
        <a:prstGeom prst="rect">
          <a:avLst/>
        </a:prstGeom>
        <a:solidFill>
          <a:srgbClr val="4F81BD"/>
        </a:solidFill>
        <a:ln>
          <a:noFill/>
        </a:ln>
        <a:effectLst>
          <a:outerShdw blurRad="44280" dist="2808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/>
      </xdr:style>
      <xdr:txBody>
        <a:bodyPr vertOverflow="clip" horzOverflow="clip" wrap="none" lIns="0" tIns="0" rIns="0" bIns="0" anchor="ctr">
          <a:noAutofit/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a:bodyPr>
        <a:lstStyle/>
        <a:p>
          <a:pPr>
            <a:lnSpc>
              <a:spcPct val="100000"/>
            </a:lnSpc>
          </a:pPr>
          <a:r>
            <a:rPr lang="es-MX" sz="1100" b="1" strike="noStrike" spc="-1">
              <a:solidFill>
                <a:srgbClr val="FFFFFF"/>
              </a:solidFill>
              <a:latin typeface="Cambria Math"/>
            </a:rPr>
            <a:t> 𝐅</a:t>
          </a:r>
          <a:r>
            <a:rPr lang="es-MX" sz="1100" b="1" strike="noStrike" spc="-1">
              <a:solidFill>
                <a:srgbClr val="FFFFFF"/>
              </a:solidFill>
              <a:latin typeface="Cambria Math"/>
              <a:ea typeface="Cambria Math"/>
            </a:rPr>
            <a:t>=𝐏∗(𝟏+%𝐢)^𝐧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685800</xdr:colOff>
      <xdr:row>128</xdr:row>
      <xdr:rowOff>87120</xdr:rowOff>
    </xdr:from>
    <xdr:to>
      <xdr:col>9</xdr:col>
      <xdr:colOff>399600</xdr:colOff>
      <xdr:row>131</xdr:row>
      <xdr:rowOff>112680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474880" y="20847600"/>
          <a:ext cx="1365840" cy="505800"/>
        </a:xfrm>
        <a:prstGeom prst="rect">
          <a:avLst/>
        </a:prstGeom>
        <a:solidFill>
          <a:srgbClr val="4F81BD"/>
        </a:solidFill>
        <a:ln>
          <a:noFill/>
        </a:ln>
        <a:effectLst>
          <a:outerShdw blurRad="44280" dist="2808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/>
      </xdr:style>
      <xdr:txBody>
        <a:bodyPr vertOverflow="clip" horzOverflow="clip" wrap="none" lIns="0" tIns="0" rIns="0" bIns="0" anchor="ctr">
          <a:noAutofit/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FFFFFF"/>
              </a:solidFill>
              <a:latin typeface="Cambria Math"/>
              <a:ea typeface="Cambria Math"/>
            </a:rPr>
            <a:t>  </a:t>
          </a:r>
          <a:r>
            <a:rPr lang="es-MX" sz="1100" b="1" strike="noStrike" spc="-1">
              <a:solidFill>
                <a:srgbClr val="FFFFFF"/>
              </a:solidFill>
              <a:latin typeface="Cambria Math"/>
              <a:ea typeface="Cambria Math"/>
            </a:rPr>
            <a:t>%𝒊=𝑷∗(𝑭/𝑷)^(𝟏/𝒏)</a:t>
          </a:r>
          <a:r>
            <a:rPr lang="es-CO" sz="1100" b="1" strike="noStrike" spc="-1">
              <a:solidFill>
                <a:srgbClr val="FFFFFF"/>
              </a:solidFill>
              <a:latin typeface="Calibri"/>
              <a:ea typeface="Cambria Math"/>
            </a:rPr>
            <a:t>- 1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0</xdr:colOff>
      <xdr:row>110</xdr:row>
      <xdr:rowOff>52560</xdr:rowOff>
    </xdr:from>
    <xdr:to>
      <xdr:col>24</xdr:col>
      <xdr:colOff>329760</xdr:colOff>
      <xdr:row>120</xdr:row>
      <xdr:rowOff>164520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0</xdr:colOff>
      <xdr:row>158</xdr:row>
      <xdr:rowOff>0</xdr:rowOff>
    </xdr:from>
    <xdr:to>
      <xdr:col>14</xdr:col>
      <xdr:colOff>444960</xdr:colOff>
      <xdr:row>172</xdr:row>
      <xdr:rowOff>163440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10</xdr:col>
      <xdr:colOff>876240</xdr:colOff>
      <xdr:row>8</xdr:row>
      <xdr:rowOff>159480</xdr:rowOff>
    </xdr:to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789080" y="872280"/>
          <a:ext cx="3337920" cy="639720"/>
        </a:xfrm>
        <a:prstGeom prst="rect">
          <a:avLst/>
        </a:prstGeom>
        <a:gradFill rotWithShape="0">
          <a:gsLst>
            <a:gs pos="0">
              <a:srgbClr val="9C2F2C"/>
            </a:gs>
            <a:gs pos="100000">
              <a:srgbClr val="CB3D39"/>
            </a:gs>
          </a:gsLst>
          <a:lin ang="16200000"/>
        </a:gradFill>
        <a:ln w="0">
          <a:noFill/>
        </a:ln>
        <a:effectLst>
          <a:outerShdw blurRad="39960" dist="23040" dir="540000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1100" b="1" strike="noStrike" spc="-1">
              <a:solidFill>
                <a:srgbClr val="FFFFFF"/>
              </a:solidFill>
              <a:latin typeface="Calibri"/>
            </a:rPr>
            <a:t>Estimates of risk premiums from 1928, over the last 50, 40, 30, 20 and 10 years are provided at the bottom of this table.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250200</xdr:colOff>
      <xdr:row>128</xdr:row>
      <xdr:rowOff>70920</xdr:rowOff>
    </xdr:from>
    <xdr:to>
      <xdr:col>7</xdr:col>
      <xdr:colOff>480960</xdr:colOff>
      <xdr:row>131</xdr:row>
      <xdr:rowOff>101880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3784320" y="20831400"/>
          <a:ext cx="1485720" cy="511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44280" dist="2808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/>
      </xdr:style>
      <xdr:txBody>
        <a:bodyPr vertOverflow="clip" horzOverflow="clip" wrap="none" lIns="0" tIns="0" rIns="0" bIns="0" anchor="ctr">
          <a:noAutofit/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a:bodyPr>
        <a:lstStyle/>
        <a:p>
          <a:pPr>
            <a:lnSpc>
              <a:spcPct val="100000"/>
            </a:lnSpc>
          </a:pPr>
          <a:r>
            <a:rPr lang="es-MX" sz="1100" b="1" strike="noStrike" spc="-1">
              <a:solidFill>
                <a:srgbClr val="FFFFFF"/>
              </a:solidFill>
              <a:latin typeface="Cambria Math"/>
            </a:rPr>
            <a:t> 𝐅</a:t>
          </a:r>
          <a:r>
            <a:rPr lang="es-MX" sz="1100" b="1" strike="noStrike" spc="-1">
              <a:solidFill>
                <a:srgbClr val="FFFFFF"/>
              </a:solidFill>
              <a:latin typeface="Cambria Math"/>
              <a:ea typeface="Cambria Math"/>
            </a:rPr>
            <a:t>=𝐏∗(𝟏+%𝐢)^𝐧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685800</xdr:colOff>
      <xdr:row>128</xdr:row>
      <xdr:rowOff>87120</xdr:rowOff>
    </xdr:from>
    <xdr:to>
      <xdr:col>9</xdr:col>
      <xdr:colOff>399600</xdr:colOff>
      <xdr:row>131</xdr:row>
      <xdr:rowOff>112680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474880" y="20847600"/>
          <a:ext cx="1365840" cy="5058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44280" dist="2808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/>
      </xdr:style>
      <xdr:txBody>
        <a:bodyPr vertOverflow="clip" horzOverflow="clip" wrap="none" lIns="0" tIns="0" rIns="0" bIns="0" anchor="ctr">
          <a:noAutofit/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FFFFFF"/>
              </a:solidFill>
              <a:latin typeface="Cambria Math"/>
              <a:ea typeface="Cambria Math"/>
            </a:rPr>
            <a:t>  </a:t>
          </a:r>
          <a:r>
            <a:rPr lang="es-MX" sz="1100" b="1" strike="noStrike" spc="-1">
              <a:solidFill>
                <a:srgbClr val="FFFFFF"/>
              </a:solidFill>
              <a:latin typeface="Cambria Math"/>
              <a:ea typeface="Cambria Math"/>
            </a:rPr>
            <a:t>%𝒊=𝑷∗(𝑭/𝑷)^(𝟏/𝒏)</a:t>
          </a:r>
          <a:r>
            <a:rPr lang="es-CO" sz="1100" b="1" strike="noStrike" spc="-1">
              <a:solidFill>
                <a:srgbClr val="FFFFFF"/>
              </a:solidFill>
              <a:latin typeface="Calibri"/>
              <a:ea typeface="Cambria Math"/>
            </a:rPr>
            <a:t>- 1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7560</xdr:colOff>
      <xdr:row>135</xdr:row>
      <xdr:rowOff>7560</xdr:rowOff>
    </xdr:from>
    <xdr:to>
      <xdr:col>24</xdr:col>
      <xdr:colOff>329760</xdr:colOff>
      <xdr:row>147</xdr:row>
      <xdr:rowOff>159480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134</xdr:row>
          <xdr:rowOff>38100</xdr:rowOff>
        </xdr:from>
        <xdr:to>
          <xdr:col>9</xdr:col>
          <xdr:colOff>523875</xdr:colOff>
          <xdr:row>135</xdr:row>
          <xdr:rowOff>161925</xdr:rowOff>
        </xdr:to>
        <xdr:sp macro="" textlink="">
          <xdr:nvSpPr>
            <xdr:cNvPr id="1001" name="Check Box 1" descr="Spot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1166785-936B-304B-20BE-4DDF2425A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Spot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151</xdr:row>
          <xdr:rowOff>0</xdr:rowOff>
        </xdr:from>
        <xdr:to>
          <xdr:col>10</xdr:col>
          <xdr:colOff>247650</xdr:colOff>
          <xdr:row>152</xdr:row>
          <xdr:rowOff>142875</xdr:rowOff>
        </xdr:to>
        <xdr:sp macro="" textlink="">
          <xdr:nvSpPr>
            <xdr:cNvPr id="1002" name="Check Box 2" descr="Yield 10 a os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1C89CA84-824D-2E78-415F-8D315C805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Yield 10 a os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609120</xdr:colOff>
      <xdr:row>15</xdr:row>
      <xdr:rowOff>182520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14</xdr:col>
      <xdr:colOff>624600</xdr:colOff>
      <xdr:row>13</xdr:row>
      <xdr:rowOff>131040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7</xdr:col>
      <xdr:colOff>660240</xdr:colOff>
      <xdr:row>32</xdr:row>
      <xdr:rowOff>52920</xdr:rowOff>
    </xdr:to>
    <xdr:graphicFrame macro="">
      <xdr:nvGraphicFramePr>
        <xdr:cNvPr id="14" name="Gráfico 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16</xdr:row>
      <xdr:rowOff>0</xdr:rowOff>
    </xdr:from>
    <xdr:to>
      <xdr:col>14</xdr:col>
      <xdr:colOff>609120</xdr:colOff>
      <xdr:row>30</xdr:row>
      <xdr:rowOff>182520</xdr:rowOff>
    </xdr:to>
    <xdr:graphicFrame macro="">
      <xdr:nvGraphicFramePr>
        <xdr:cNvPr id="15" name="Gráfico 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34</xdr:row>
      <xdr:rowOff>0</xdr:rowOff>
    </xdr:from>
    <xdr:to>
      <xdr:col>9</xdr:col>
      <xdr:colOff>109800</xdr:colOff>
      <xdr:row>48</xdr:row>
      <xdr:rowOff>41040</xdr:rowOff>
    </xdr:to>
    <xdr:graphicFrame macro="">
      <xdr:nvGraphicFramePr>
        <xdr:cNvPr id="16" name="Gráfico 6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0</xdr:colOff>
      <xdr:row>34</xdr:row>
      <xdr:rowOff>0</xdr:rowOff>
    </xdr:from>
    <xdr:to>
      <xdr:col>17</xdr:col>
      <xdr:colOff>7200</xdr:colOff>
      <xdr:row>48</xdr:row>
      <xdr:rowOff>163440</xdr:rowOff>
    </xdr:to>
    <xdr:graphicFrame macro="">
      <xdr:nvGraphicFramePr>
        <xdr:cNvPr id="17" name="Gráfico 7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0</xdr:colOff>
      <xdr:row>50</xdr:row>
      <xdr:rowOff>110520</xdr:rowOff>
    </xdr:from>
    <xdr:to>
      <xdr:col>8</xdr:col>
      <xdr:colOff>536400</xdr:colOff>
      <xdr:row>64</xdr:row>
      <xdr:rowOff>137880</xdr:rowOff>
    </xdr:to>
    <xdr:graphicFrame macro="">
      <xdr:nvGraphicFramePr>
        <xdr:cNvPr id="18" name="Gráfico 8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717480</xdr:colOff>
      <xdr:row>50</xdr:row>
      <xdr:rowOff>0</xdr:rowOff>
    </xdr:from>
    <xdr:to>
      <xdr:col>15</xdr:col>
      <xdr:colOff>41400</xdr:colOff>
      <xdr:row>63</xdr:row>
      <xdr:rowOff>35640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6923880" y="9144000"/>
          <a:ext cx="4766400" cy="241308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r>
            <a:rPr lang="es-CO" sz="1100" b="0" strike="noStrike" spc="-1">
              <a:latin typeface="Times New Roman"/>
            </a:rPr>
            <a:t>Este gráfico no está disponible en su versión de Excel.</a:t>
          </a:r>
          <a:endParaRPr lang="en-US" sz="1100" b="0" strike="noStrike" spc="-1">
            <a:latin typeface="Times New Roman"/>
          </a:endParaRPr>
        </a:p>
        <a:p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s-CO" sz="1100" b="0" strike="noStrike" spc="-1">
              <a:latin typeface="Times New Roman"/>
            </a:rPr>
            <a:t>Si edita esta forma o guarda el libro en un formato de archivo diferente, el gráfico no se podrá utilizar.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7</xdr:col>
      <xdr:colOff>138600</xdr:colOff>
      <xdr:row>90</xdr:row>
      <xdr:rowOff>0</xdr:rowOff>
    </xdr:from>
    <xdr:to>
      <xdr:col>13</xdr:col>
      <xdr:colOff>34200</xdr:colOff>
      <xdr:row>103</xdr:row>
      <xdr:rowOff>99360</xdr:rowOff>
    </xdr:to>
    <xdr:graphicFrame macro="">
      <xdr:nvGraphicFramePr>
        <xdr:cNvPr id="20" name="Gráfico 1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0</xdr:colOff>
      <xdr:row>90</xdr:row>
      <xdr:rowOff>5400</xdr:rowOff>
    </xdr:from>
    <xdr:to>
      <xdr:col>6</xdr:col>
      <xdr:colOff>612000</xdr:colOff>
      <xdr:row>102</xdr:row>
      <xdr:rowOff>153000</xdr:rowOff>
    </xdr:to>
    <xdr:graphicFrame macro="">
      <xdr:nvGraphicFramePr>
        <xdr:cNvPr id="21" name="Gráfico 12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2520</xdr:colOff>
      <xdr:row>105</xdr:row>
      <xdr:rowOff>126720</xdr:rowOff>
    </xdr:from>
    <xdr:to>
      <xdr:col>6</xdr:col>
      <xdr:colOff>510480</xdr:colOff>
      <xdr:row>118</xdr:row>
      <xdr:rowOff>118080</xdr:rowOff>
    </xdr:to>
    <xdr:graphicFrame macro="">
      <xdr:nvGraphicFramePr>
        <xdr:cNvPr id="22" name="Gráfico 13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52200</xdr:colOff>
      <xdr:row>105</xdr:row>
      <xdr:rowOff>149760</xdr:rowOff>
    </xdr:from>
    <xdr:to>
      <xdr:col>13</xdr:col>
      <xdr:colOff>4680</xdr:colOff>
      <xdr:row>118</xdr:row>
      <xdr:rowOff>122760</xdr:rowOff>
    </xdr:to>
    <xdr:graphicFrame macro="">
      <xdr:nvGraphicFramePr>
        <xdr:cNvPr id="23" name="Gráfico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0</xdr:colOff>
      <xdr:row>66</xdr:row>
      <xdr:rowOff>0</xdr:rowOff>
    </xdr:from>
    <xdr:to>
      <xdr:col>8</xdr:col>
      <xdr:colOff>12240</xdr:colOff>
      <xdr:row>81</xdr:row>
      <xdr:rowOff>11160</xdr:rowOff>
    </xdr:to>
    <xdr:graphicFrame macro="">
      <xdr:nvGraphicFramePr>
        <xdr:cNvPr id="24" name="Gráfico 15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9</xdr:col>
      <xdr:colOff>0</xdr:colOff>
      <xdr:row>66</xdr:row>
      <xdr:rowOff>0</xdr:rowOff>
    </xdr:from>
    <xdr:to>
      <xdr:col>16</xdr:col>
      <xdr:colOff>35280</xdr:colOff>
      <xdr:row>81</xdr:row>
      <xdr:rowOff>11160</xdr:rowOff>
    </xdr:to>
    <xdr:graphicFrame macro="">
      <xdr:nvGraphicFramePr>
        <xdr:cNvPr id="25" name="Gráfico 16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14</xdr:col>
      <xdr:colOff>0</xdr:colOff>
      <xdr:row>90</xdr:row>
      <xdr:rowOff>0</xdr:rowOff>
    </xdr:from>
    <xdr:to>
      <xdr:col>19</xdr:col>
      <xdr:colOff>200160</xdr:colOff>
      <xdr:row>103</xdr:row>
      <xdr:rowOff>99360</xdr:rowOff>
    </xdr:to>
    <xdr:graphicFrame macro="">
      <xdr:nvGraphicFramePr>
        <xdr:cNvPr id="26" name="Gráfico 17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hyperlink" Target="http://www.damodaran.com/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modar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J308"/>
  <sheetViews>
    <sheetView topLeftCell="A130" zoomScaleNormal="100" zoomScalePageLayoutView="60" workbookViewId="0"/>
  </sheetViews>
  <sheetFormatPr baseColWidth="10" defaultColWidth="11.7109375" defaultRowHeight="16.5"/>
  <cols>
    <col min="1" max="1" width="5.7109375" style="15" customWidth="1"/>
    <col min="2" max="2" width="35.140625" style="16" customWidth="1"/>
    <col min="3" max="3" width="4.28515625" style="16" customWidth="1"/>
    <col min="4" max="4" width="8.140625" style="16" customWidth="1"/>
    <col min="5" max="6" width="7.85546875" style="16" customWidth="1"/>
    <col min="7" max="14" width="8.85546875" style="16" customWidth="1"/>
    <col min="15" max="15" width="3.7109375" style="16" customWidth="1"/>
    <col min="16" max="16" width="9" style="16" customWidth="1"/>
    <col min="17" max="1024" width="11.7109375" style="16"/>
  </cols>
  <sheetData>
    <row r="2" spans="2:14">
      <c r="B2" s="16" t="s">
        <v>0</v>
      </c>
      <c r="D2" s="17" t="s">
        <v>1</v>
      </c>
      <c r="E2" s="18">
        <f>VLOOKUP(D2,Macro!$B$30:$C$33,2,FALSE())</f>
        <v>1000</v>
      </c>
    </row>
    <row r="3" spans="2:14">
      <c r="B3" s="16" t="s">
        <v>2</v>
      </c>
      <c r="D3" s="17" t="s">
        <v>1</v>
      </c>
      <c r="E3" s="18">
        <f>VLOOKUP(D3,Macro!$B$30:$C$33,2,FALSE())</f>
        <v>1000</v>
      </c>
    </row>
    <row r="4" spans="2:14">
      <c r="B4" s="16" t="s">
        <v>3</v>
      </c>
      <c r="D4" s="15"/>
      <c r="E4" s="19">
        <f>E2/E3</f>
        <v>1</v>
      </c>
    </row>
    <row r="6" spans="2:14">
      <c r="B6" s="14" t="str">
        <f>Comercial!D2</f>
        <v>Solución Empresa ABC SAS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>
      <c r="B7" s="14" t="s">
        <v>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2:14">
      <c r="B8" s="13" t="str">
        <f>"Valores en "&amp;D3</f>
        <v>Valores en Miles de pesos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4">
      <c r="D9" s="20">
        <v>0</v>
      </c>
      <c r="E9" s="21">
        <f t="shared" ref="E9:N9" si="0">D9+1</f>
        <v>1</v>
      </c>
      <c r="F9" s="21">
        <f t="shared" si="0"/>
        <v>2</v>
      </c>
      <c r="G9" s="21">
        <f t="shared" si="0"/>
        <v>3</v>
      </c>
      <c r="H9" s="21">
        <f t="shared" si="0"/>
        <v>4</v>
      </c>
      <c r="I9" s="21">
        <f t="shared" si="0"/>
        <v>5</v>
      </c>
      <c r="J9" s="21">
        <f t="shared" si="0"/>
        <v>6</v>
      </c>
      <c r="K9" s="21">
        <f t="shared" si="0"/>
        <v>7</v>
      </c>
      <c r="L9" s="21">
        <f t="shared" si="0"/>
        <v>8</v>
      </c>
      <c r="M9" s="21">
        <f t="shared" si="0"/>
        <v>9</v>
      </c>
      <c r="N9" s="21">
        <f t="shared" si="0"/>
        <v>10</v>
      </c>
    </row>
    <row r="10" spans="2:14" ht="18.75">
      <c r="B10" s="22" t="s">
        <v>5</v>
      </c>
      <c r="D10" s="20">
        <v>2023</v>
      </c>
      <c r="E10" s="21">
        <f t="shared" ref="E10:N10" si="1">D10+1</f>
        <v>2024</v>
      </c>
      <c r="F10" s="21">
        <f t="shared" si="1"/>
        <v>2025</v>
      </c>
      <c r="G10" s="21">
        <f t="shared" si="1"/>
        <v>2026</v>
      </c>
      <c r="H10" s="21">
        <f t="shared" si="1"/>
        <v>2027</v>
      </c>
      <c r="I10" s="21">
        <f t="shared" si="1"/>
        <v>2028</v>
      </c>
      <c r="J10" s="21">
        <f t="shared" si="1"/>
        <v>2029</v>
      </c>
      <c r="K10" s="21">
        <f t="shared" si="1"/>
        <v>2030</v>
      </c>
      <c r="L10" s="21">
        <f t="shared" si="1"/>
        <v>2031</v>
      </c>
      <c r="M10" s="21">
        <f t="shared" si="1"/>
        <v>2032</v>
      </c>
      <c r="N10" s="21">
        <f t="shared" si="1"/>
        <v>2033</v>
      </c>
    </row>
    <row r="12" spans="2:14">
      <c r="B12" s="23" t="str">
        <f>Macro!B18</f>
        <v>Índice de Precios al Consumidor (IPC COP)</v>
      </c>
      <c r="C12" s="24"/>
      <c r="D12" s="25">
        <f>Macro!C18</f>
        <v>0.11700000000000001</v>
      </c>
      <c r="E12" s="25">
        <f>Macro!D18</f>
        <v>7.0000000000000007E-2</v>
      </c>
      <c r="F12" s="25">
        <f>Macro!E18</f>
        <v>0.05</v>
      </c>
      <c r="G12" s="25">
        <f>Macro!F18</f>
        <v>0.04</v>
      </c>
      <c r="H12" s="25">
        <f>Macro!G18</f>
        <v>0.04</v>
      </c>
      <c r="I12" s="25">
        <f>Macro!H18</f>
        <v>0.04</v>
      </c>
      <c r="J12" s="25">
        <f>Macro!I18</f>
        <v>0.04</v>
      </c>
      <c r="K12" s="25">
        <f>Macro!J18</f>
        <v>0.04</v>
      </c>
      <c r="L12" s="25">
        <f>Macro!K18</f>
        <v>0.04</v>
      </c>
      <c r="M12" s="25">
        <f>Macro!L18</f>
        <v>0.04</v>
      </c>
      <c r="N12" s="26">
        <f>Macro!M18</f>
        <v>0.04</v>
      </c>
    </row>
    <row r="13" spans="2:14">
      <c r="B13" s="27" t="str">
        <f>Macro!B19</f>
        <v>Índice de Precios al Productor (IPP COP)</v>
      </c>
      <c r="D13" s="28">
        <f>Macro!C19</f>
        <v>3.4000000000000002E-2</v>
      </c>
      <c r="E13" s="28">
        <f>Macro!D19</f>
        <v>2.5000000000000001E-2</v>
      </c>
      <c r="F13" s="28">
        <f>Macro!E19</f>
        <v>2.5000000000000001E-2</v>
      </c>
      <c r="G13" s="28">
        <f>Macro!F19</f>
        <v>2.5000000000000001E-2</v>
      </c>
      <c r="H13" s="28">
        <f>Macro!G19</f>
        <v>2.5000000000000001E-2</v>
      </c>
      <c r="I13" s="28">
        <f>Macro!H19</f>
        <v>2.5000000000000001E-2</v>
      </c>
      <c r="J13" s="28">
        <f>Macro!I19</f>
        <v>2.5000000000000001E-2</v>
      </c>
      <c r="K13" s="28">
        <f>Macro!J19</f>
        <v>2.5000000000000001E-2</v>
      </c>
      <c r="L13" s="28">
        <f>Macro!K19</f>
        <v>2.5000000000000001E-2</v>
      </c>
      <c r="M13" s="28">
        <f>Macro!L19</f>
        <v>2.5000000000000001E-2</v>
      </c>
      <c r="N13" s="29">
        <f>Macro!M19</f>
        <v>2.5000000000000001E-2</v>
      </c>
    </row>
    <row r="14" spans="2:14">
      <c r="B14" s="27" t="str">
        <f>Macro!B20</f>
        <v>Índice de precios al Consumidor (IPC USD)</v>
      </c>
      <c r="D14" s="28">
        <f>Macro!C20</f>
        <v>0.13170000000000001</v>
      </c>
      <c r="E14" s="28">
        <f>Macro!D20</f>
        <v>2.7E-2</v>
      </c>
      <c r="F14" s="28">
        <f>Macro!E20</f>
        <v>2.7E-2</v>
      </c>
      <c r="G14" s="28">
        <f>Macro!F20</f>
        <v>2.7E-2</v>
      </c>
      <c r="H14" s="28">
        <f>Macro!G20</f>
        <v>2.7E-2</v>
      </c>
      <c r="I14" s="28">
        <f>Macro!H20</f>
        <v>2.7E-2</v>
      </c>
      <c r="J14" s="28">
        <f>Macro!I20</f>
        <v>2.7E-2</v>
      </c>
      <c r="K14" s="28">
        <f>Macro!J20</f>
        <v>2.7E-2</v>
      </c>
      <c r="L14" s="28">
        <f>Macro!K20</f>
        <v>2.7E-2</v>
      </c>
      <c r="M14" s="28">
        <f>Macro!L20</f>
        <v>2.7E-2</v>
      </c>
      <c r="N14" s="29">
        <f>Macro!M20</f>
        <v>2.7E-2</v>
      </c>
    </row>
    <row r="15" spans="2:14">
      <c r="B15" s="27" t="str">
        <f>Macro!B6</f>
        <v>Producto Interno Bruto (PIB)</v>
      </c>
      <c r="D15" s="28">
        <f>Macro!C6</f>
        <v>7.4999999999999997E-2</v>
      </c>
      <c r="E15" s="28">
        <f>Macro!D6</f>
        <v>7.0000000000000001E-3</v>
      </c>
      <c r="F15" s="28">
        <f>Macro!E6</f>
        <v>1.7999999999999999E-2</v>
      </c>
      <c r="G15" s="28">
        <f>Macro!F6</f>
        <v>1.7999999999999999E-2</v>
      </c>
      <c r="H15" s="28">
        <f>Macro!G6</f>
        <v>1.7999999999999999E-2</v>
      </c>
      <c r="I15" s="28">
        <f>Macro!H6</f>
        <v>1.7999999999999999E-2</v>
      </c>
      <c r="J15" s="28">
        <f>Macro!I6</f>
        <v>1.7999999999999999E-2</v>
      </c>
      <c r="K15" s="28">
        <f>Macro!J6</f>
        <v>1.7999999999999999E-2</v>
      </c>
      <c r="L15" s="28">
        <f>Macro!K6</f>
        <v>1.7999999999999999E-2</v>
      </c>
      <c r="M15" s="28">
        <f>Macro!L6</f>
        <v>1.7999999999999999E-2</v>
      </c>
      <c r="N15" s="29">
        <f>Macro!M6</f>
        <v>1.7999999999999999E-2</v>
      </c>
    </row>
    <row r="16" spans="2:14">
      <c r="B16" s="27" t="str">
        <f>Macro!B7</f>
        <v>Tasa de Cambio Final</v>
      </c>
      <c r="D16" s="30">
        <f>Macro!C22</f>
        <v>4327.2</v>
      </c>
      <c r="E16" s="30">
        <f>Macro!D22</f>
        <v>4240.6559999999999</v>
      </c>
      <c r="F16" s="30">
        <f>Macro!E22</f>
        <v>4291.5438720000002</v>
      </c>
      <c r="G16" s="30">
        <f>Macro!F22</f>
        <v>4463.2056268800006</v>
      </c>
      <c r="H16" s="30">
        <f>Macro!G22</f>
        <v>4570.3225619251207</v>
      </c>
      <c r="I16" s="30">
        <f>Macro!H22</f>
        <v>4680.0103034113235</v>
      </c>
      <c r="J16" s="30">
        <f>Macro!I22</f>
        <v>4792.3305506931956</v>
      </c>
      <c r="K16" s="30">
        <f>Macro!J22</f>
        <v>4907.3464839098324</v>
      </c>
      <c r="L16" s="30">
        <f>Macro!K22</f>
        <v>5025.1227995236686</v>
      </c>
      <c r="M16" s="30">
        <f>Macro!L22</f>
        <v>5145.7257467122372</v>
      </c>
      <c r="N16" s="31">
        <f>Macro!M22</f>
        <v>5269.2231646333312</v>
      </c>
    </row>
    <row r="17" spans="1:14">
      <c r="B17" s="27" t="str">
        <f>Macro!B8</f>
        <v>Tasa de Cambio Promedio</v>
      </c>
      <c r="D17" s="30">
        <f>Macro!C23</f>
        <v>4567.6000000000004</v>
      </c>
      <c r="E17" s="30">
        <f>Macro!D23</f>
        <v>4283.9279999999999</v>
      </c>
      <c r="F17" s="30">
        <f>Macro!E23</f>
        <v>4266.0999360000005</v>
      </c>
      <c r="G17" s="30">
        <f>Macro!F23</f>
        <v>4377.3747494400004</v>
      </c>
      <c r="H17" s="30">
        <f>Macro!G23</f>
        <v>4516.7640944025607</v>
      </c>
      <c r="I17" s="30">
        <f>Macro!H23</f>
        <v>4625.1664326682221</v>
      </c>
      <c r="J17" s="30">
        <f>Macro!I23</f>
        <v>4736.1704270522596</v>
      </c>
      <c r="K17" s="30">
        <f>Macro!J23</f>
        <v>4849.838517301514</v>
      </c>
      <c r="L17" s="30">
        <f>Macro!K23</f>
        <v>4966.23464171675</v>
      </c>
      <c r="M17" s="30">
        <f>Macro!L23</f>
        <v>5085.4242731179529</v>
      </c>
      <c r="N17" s="31">
        <f>Macro!M23</f>
        <v>5207.4744556727837</v>
      </c>
    </row>
    <row r="18" spans="1:14">
      <c r="B18" s="27" t="str">
        <f>Macro!B24</f>
        <v>Depósitos a Término Fijo (DTF)</v>
      </c>
      <c r="D18" s="28">
        <f>Macro!C24</f>
        <v>0.13120000000000001</v>
      </c>
      <c r="E18" s="28">
        <f>Macro!D24</f>
        <v>0.10440000000000001</v>
      </c>
      <c r="F18" s="28">
        <f>Macro!E24</f>
        <v>7.0199999999999999E-2</v>
      </c>
      <c r="G18" s="28">
        <f>Macro!F24</f>
        <v>6.2199999999999998E-2</v>
      </c>
      <c r="H18" s="28">
        <f>Macro!G24</f>
        <v>6.13E-2</v>
      </c>
      <c r="I18" s="28">
        <f>Macro!H24</f>
        <v>6.13E-2</v>
      </c>
      <c r="J18" s="28">
        <f>Macro!I24</f>
        <v>6.13E-2</v>
      </c>
      <c r="K18" s="28">
        <f>Macro!J24</f>
        <v>6.13E-2</v>
      </c>
      <c r="L18" s="28">
        <f>Macro!K24</f>
        <v>6.13E-2</v>
      </c>
      <c r="M18" s="28">
        <f>Macro!L24</f>
        <v>6.13E-2</v>
      </c>
      <c r="N18" s="29">
        <f>Macro!M24</f>
        <v>6.13E-2</v>
      </c>
    </row>
    <row r="19" spans="1:14">
      <c r="B19" s="27" t="str">
        <f>Macro!B25</f>
        <v>Libor (6m) fin de año</v>
      </c>
      <c r="D19" s="28">
        <f>Macro!C25</f>
        <v>7.4999999999999997E-3</v>
      </c>
      <c r="E19" s="28">
        <f>Macro!D25</f>
        <v>1.12E-2</v>
      </c>
      <c r="F19" s="28">
        <f>Macro!E25</f>
        <v>1.47E-2</v>
      </c>
      <c r="G19" s="28">
        <f>Macro!F25</f>
        <v>1.9400000000000001E-2</v>
      </c>
      <c r="H19" s="28">
        <f>Macro!G25</f>
        <v>1.9400000000000001E-2</v>
      </c>
      <c r="I19" s="28">
        <f>Macro!H25</f>
        <v>1.9400000000000001E-2</v>
      </c>
      <c r="J19" s="28">
        <f>Macro!I25</f>
        <v>1.9400000000000001E-2</v>
      </c>
      <c r="K19" s="28">
        <f>Macro!J25</f>
        <v>1.9400000000000001E-2</v>
      </c>
      <c r="L19" s="28">
        <f>Macro!K25</f>
        <v>1.9400000000000001E-2</v>
      </c>
      <c r="M19" s="28">
        <f>Macro!L25</f>
        <v>1.9400000000000001E-2</v>
      </c>
      <c r="N19" s="29">
        <f>Macro!M25</f>
        <v>1.9400000000000001E-2</v>
      </c>
    </row>
    <row r="20" spans="1:14">
      <c r="B20" s="27" t="s">
        <v>6</v>
      </c>
      <c r="D20" s="30">
        <v>650</v>
      </c>
      <c r="E20" s="30">
        <f t="shared" ref="E20:N20" si="2">D20*(1+D21)</f>
        <v>760.5</v>
      </c>
      <c r="F20" s="30">
        <f t="shared" si="2"/>
        <v>866.97000000000014</v>
      </c>
      <c r="G20" s="30">
        <f t="shared" si="2"/>
        <v>971.00640000000021</v>
      </c>
      <c r="H20" s="30">
        <f t="shared" si="2"/>
        <v>1068.1070400000003</v>
      </c>
      <c r="I20" s="30">
        <f t="shared" si="2"/>
        <v>1174.9177440000005</v>
      </c>
      <c r="J20" s="30">
        <f t="shared" si="2"/>
        <v>1292.4095184000007</v>
      </c>
      <c r="K20" s="30">
        <f t="shared" si="2"/>
        <v>1421.6504702400009</v>
      </c>
      <c r="L20" s="30">
        <f t="shared" si="2"/>
        <v>1563.8155172640011</v>
      </c>
      <c r="M20" s="30">
        <f t="shared" si="2"/>
        <v>1720.1970689904012</v>
      </c>
      <c r="N20" s="31">
        <f t="shared" si="2"/>
        <v>1892.2167758894416</v>
      </c>
    </row>
    <row r="21" spans="1:14">
      <c r="B21" s="27" t="s">
        <v>7</v>
      </c>
      <c r="D21" s="28">
        <v>0.17</v>
      </c>
      <c r="E21" s="28">
        <v>0.14000000000000001</v>
      </c>
      <c r="F21" s="28">
        <v>0.12</v>
      </c>
      <c r="G21" s="28">
        <v>0.1</v>
      </c>
      <c r="H21" s="28">
        <v>0.1</v>
      </c>
      <c r="I21" s="28">
        <v>0.1</v>
      </c>
      <c r="J21" s="28">
        <v>0.1</v>
      </c>
      <c r="K21" s="28">
        <v>0.1</v>
      </c>
      <c r="L21" s="28">
        <v>0.1</v>
      </c>
      <c r="M21" s="28">
        <v>0.1</v>
      </c>
      <c r="N21" s="29">
        <v>0.1</v>
      </c>
    </row>
    <row r="22" spans="1:14">
      <c r="B22" s="27" t="str">
        <f>Macro!B26</f>
        <v>Devaluación fin de año</v>
      </c>
      <c r="D22" s="28">
        <f>Macro!C26</f>
        <v>-0.1</v>
      </c>
      <c r="E22" s="28">
        <f>Macro!D26</f>
        <v>-0.02</v>
      </c>
      <c r="F22" s="28">
        <f>Macro!E26</f>
        <v>1.2E-2</v>
      </c>
      <c r="G22" s="28">
        <f>Macro!F26</f>
        <v>0.04</v>
      </c>
      <c r="H22" s="28">
        <f>Macro!G26</f>
        <v>2.4E-2</v>
      </c>
      <c r="I22" s="28">
        <f>Macro!H26</f>
        <v>2.4E-2</v>
      </c>
      <c r="J22" s="28">
        <f>Macro!I26</f>
        <v>2.4E-2</v>
      </c>
      <c r="K22" s="28">
        <f>Macro!J26</f>
        <v>2.4E-2</v>
      </c>
      <c r="L22" s="28">
        <f>Macro!K26</f>
        <v>2.4E-2</v>
      </c>
      <c r="M22" s="28">
        <f>Macro!L26</f>
        <v>2.4E-2</v>
      </c>
      <c r="N22" s="29">
        <f>Macro!M26</f>
        <v>2.4E-2</v>
      </c>
    </row>
    <row r="23" spans="1:14">
      <c r="B23" s="32" t="str">
        <f>Macro!B27</f>
        <v>Incremento SMMLV</v>
      </c>
      <c r="C23" s="33"/>
      <c r="D23" s="34">
        <f>Macro!C27</f>
        <v>0.16</v>
      </c>
      <c r="E23" s="34">
        <f>Macro!D27</f>
        <v>0.13</v>
      </c>
      <c r="F23" s="34">
        <f>Macro!E27</f>
        <v>0.08</v>
      </c>
      <c r="G23" s="34">
        <f>Macro!F27</f>
        <v>0.06</v>
      </c>
      <c r="H23" s="34">
        <f>Macro!G27</f>
        <v>0.06</v>
      </c>
      <c r="I23" s="34">
        <f>Macro!H27</f>
        <v>0.06</v>
      </c>
      <c r="J23" s="34">
        <f>Macro!I27</f>
        <v>0.06</v>
      </c>
      <c r="K23" s="34">
        <f>Macro!J27</f>
        <v>0.06</v>
      </c>
      <c r="L23" s="34">
        <f>Macro!K27</f>
        <v>0.06</v>
      </c>
      <c r="M23" s="34">
        <f>Macro!L27</f>
        <v>0.06</v>
      </c>
      <c r="N23" s="35">
        <f>Macro!M27</f>
        <v>0.06</v>
      </c>
    </row>
    <row r="25" spans="1:14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ht="18.75">
      <c r="B27" s="22" t="s">
        <v>8</v>
      </c>
    </row>
    <row r="28" spans="1:14">
      <c r="D28" s="21">
        <f t="shared" ref="D28:N28" si="3">D$9</f>
        <v>0</v>
      </c>
      <c r="E28" s="21">
        <f t="shared" si="3"/>
        <v>1</v>
      </c>
      <c r="F28" s="21">
        <f t="shared" si="3"/>
        <v>2</v>
      </c>
      <c r="G28" s="21">
        <f t="shared" si="3"/>
        <v>3</v>
      </c>
      <c r="H28" s="21">
        <f t="shared" si="3"/>
        <v>4</v>
      </c>
      <c r="I28" s="21">
        <f t="shared" si="3"/>
        <v>5</v>
      </c>
      <c r="J28" s="21">
        <f t="shared" si="3"/>
        <v>6</v>
      </c>
      <c r="K28" s="21">
        <f t="shared" si="3"/>
        <v>7</v>
      </c>
      <c r="L28" s="21">
        <f t="shared" si="3"/>
        <v>8</v>
      </c>
      <c r="M28" s="21">
        <f t="shared" si="3"/>
        <v>9</v>
      </c>
      <c r="N28" s="21">
        <f t="shared" si="3"/>
        <v>10</v>
      </c>
    </row>
    <row r="29" spans="1:14">
      <c r="D29" s="21">
        <f t="shared" ref="D29:N29" si="4">D$10</f>
        <v>2023</v>
      </c>
      <c r="E29" s="21">
        <f t="shared" si="4"/>
        <v>2024</v>
      </c>
      <c r="F29" s="21">
        <f t="shared" si="4"/>
        <v>2025</v>
      </c>
      <c r="G29" s="21">
        <f t="shared" si="4"/>
        <v>2026</v>
      </c>
      <c r="H29" s="21">
        <f t="shared" si="4"/>
        <v>2027</v>
      </c>
      <c r="I29" s="21">
        <f t="shared" si="4"/>
        <v>2028</v>
      </c>
      <c r="J29" s="21">
        <f t="shared" si="4"/>
        <v>2029</v>
      </c>
      <c r="K29" s="21">
        <f t="shared" si="4"/>
        <v>2030</v>
      </c>
      <c r="L29" s="21">
        <f t="shared" si="4"/>
        <v>2031</v>
      </c>
      <c r="M29" s="21">
        <f t="shared" si="4"/>
        <v>2032</v>
      </c>
      <c r="N29" s="21">
        <f t="shared" si="4"/>
        <v>2033</v>
      </c>
    </row>
    <row r="30" spans="1:14" ht="18.75">
      <c r="B30" s="37" t="s">
        <v>9</v>
      </c>
      <c r="C30" s="37"/>
    </row>
    <row r="32" spans="1:14">
      <c r="A32" s="38">
        <v>1</v>
      </c>
      <c r="B32" s="39" t="s">
        <v>10</v>
      </c>
      <c r="D32" s="40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2">
        <v>0</v>
      </c>
    </row>
    <row r="33" spans="1:15">
      <c r="A33" s="38">
        <f>A32+1</f>
        <v>2</v>
      </c>
      <c r="B33" s="43" t="s">
        <v>11</v>
      </c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6">
        <v>0</v>
      </c>
    </row>
    <row r="34" spans="1:15">
      <c r="A34" s="38">
        <f>A33+1</f>
        <v>3</v>
      </c>
      <c r="B34" s="47" t="s">
        <v>12</v>
      </c>
      <c r="D34" s="48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50">
        <v>0</v>
      </c>
    </row>
    <row r="35" spans="1:15">
      <c r="A35" s="38"/>
      <c r="B35" s="51" t="str">
        <f>"Total "&amp;B30</f>
        <v>Total Ingresos</v>
      </c>
      <c r="C35" s="52"/>
      <c r="D35" s="53">
        <f t="shared" ref="D35:N35" si="5">SUM(D32:D34)</f>
        <v>0</v>
      </c>
      <c r="E35" s="53">
        <f t="shared" si="5"/>
        <v>0</v>
      </c>
      <c r="F35" s="53">
        <f t="shared" si="5"/>
        <v>0</v>
      </c>
      <c r="G35" s="53">
        <f t="shared" si="5"/>
        <v>0</v>
      </c>
      <c r="H35" s="53">
        <f t="shared" si="5"/>
        <v>0</v>
      </c>
      <c r="I35" s="53">
        <f t="shared" si="5"/>
        <v>0</v>
      </c>
      <c r="J35" s="53">
        <f t="shared" si="5"/>
        <v>0</v>
      </c>
      <c r="K35" s="53">
        <f t="shared" si="5"/>
        <v>0</v>
      </c>
      <c r="L35" s="53">
        <f t="shared" si="5"/>
        <v>0</v>
      </c>
      <c r="M35" s="53">
        <f t="shared" si="5"/>
        <v>0</v>
      </c>
      <c r="N35" s="53">
        <f t="shared" si="5"/>
        <v>0</v>
      </c>
    </row>
    <row r="37" spans="1:15">
      <c r="D37" s="21">
        <f t="shared" ref="D37:N37" si="6">D$9</f>
        <v>0</v>
      </c>
      <c r="E37" s="21">
        <f t="shared" si="6"/>
        <v>1</v>
      </c>
      <c r="F37" s="21">
        <f t="shared" si="6"/>
        <v>2</v>
      </c>
      <c r="G37" s="21">
        <f t="shared" si="6"/>
        <v>3</v>
      </c>
      <c r="H37" s="21">
        <f t="shared" si="6"/>
        <v>4</v>
      </c>
      <c r="I37" s="21">
        <f t="shared" si="6"/>
        <v>5</v>
      </c>
      <c r="J37" s="21">
        <f t="shared" si="6"/>
        <v>6</v>
      </c>
      <c r="K37" s="21">
        <f t="shared" si="6"/>
        <v>7</v>
      </c>
      <c r="L37" s="21">
        <f t="shared" si="6"/>
        <v>8</v>
      </c>
      <c r="M37" s="21">
        <f t="shared" si="6"/>
        <v>9</v>
      </c>
      <c r="N37" s="21">
        <f t="shared" si="6"/>
        <v>10</v>
      </c>
    </row>
    <row r="38" spans="1:15" ht="18.75">
      <c r="B38" s="37" t="s">
        <v>13</v>
      </c>
      <c r="C38" s="37"/>
      <c r="D38" s="21">
        <f t="shared" ref="D38:N38" si="7">D$10</f>
        <v>2023</v>
      </c>
      <c r="E38" s="21">
        <f t="shared" si="7"/>
        <v>2024</v>
      </c>
      <c r="F38" s="21">
        <f t="shared" si="7"/>
        <v>2025</v>
      </c>
      <c r="G38" s="21">
        <f t="shared" si="7"/>
        <v>2026</v>
      </c>
      <c r="H38" s="21">
        <f t="shared" si="7"/>
        <v>2027</v>
      </c>
      <c r="I38" s="21">
        <f t="shared" si="7"/>
        <v>2028</v>
      </c>
      <c r="J38" s="21">
        <f t="shared" si="7"/>
        <v>2029</v>
      </c>
      <c r="K38" s="21">
        <f t="shared" si="7"/>
        <v>2030</v>
      </c>
      <c r="L38" s="21">
        <f t="shared" si="7"/>
        <v>2031</v>
      </c>
      <c r="M38" s="21">
        <f t="shared" si="7"/>
        <v>2032</v>
      </c>
      <c r="N38" s="21">
        <f t="shared" si="7"/>
        <v>2033</v>
      </c>
    </row>
    <row r="40" spans="1:15">
      <c r="A40" s="38">
        <v>1</v>
      </c>
      <c r="B40" s="39" t="s">
        <v>14</v>
      </c>
      <c r="D40" s="54">
        <v>0</v>
      </c>
      <c r="E40" s="55">
        <f>OPEX!$B$41*Ppto!E20/1000</f>
        <v>958036.83299999998</v>
      </c>
      <c r="F40" s="55">
        <f>OPEX!$B$41*Ppto!F20/1000</f>
        <v>1092161.9896200001</v>
      </c>
      <c r="G40" s="55">
        <f>OPEX!$B$41*Ppto!G20/1000</f>
        <v>1223221.4283744004</v>
      </c>
      <c r="H40" s="55">
        <f>OPEX!$B$41*Ppto!H20/1000</f>
        <v>1345543.5712118405</v>
      </c>
      <c r="I40" s="55">
        <f>OPEX!$B$41*Ppto!I20/1000</f>
        <v>1480097.9283330247</v>
      </c>
      <c r="J40" s="55">
        <f>OPEX!$B$41*Ppto!J20/1000</f>
        <v>1628107.7211663271</v>
      </c>
      <c r="K40" s="55">
        <f>OPEX!$B$41*Ppto!K20/1000</f>
        <v>1790918.4932829603</v>
      </c>
      <c r="L40" s="55">
        <f>OPEX!$B$41*Ppto!L20/1000</f>
        <v>1970010.3426112563</v>
      </c>
      <c r="M40" s="55">
        <f>OPEX!$B$41*Ppto!M20/1000</f>
        <v>2167011.3768723821</v>
      </c>
      <c r="N40" s="56">
        <f>OPEX!$B$41*Ppto!N20/1000</f>
        <v>2383712.5145596205</v>
      </c>
    </row>
    <row r="41" spans="1:15">
      <c r="A41" s="38">
        <f t="shared" ref="A41:A49" si="8">A40+1</f>
        <v>2</v>
      </c>
      <c r="B41" s="43" t="s">
        <v>15</v>
      </c>
      <c r="D41" s="57">
        <v>0</v>
      </c>
      <c r="E41" s="45">
        <v>295619.30592479999</v>
      </c>
      <c r="F41" s="45">
        <v>320556.96756300703</v>
      </c>
      <c r="G41" s="45">
        <v>339658.40151702502</v>
      </c>
      <c r="H41" s="45">
        <v>360171.10498119099</v>
      </c>
      <c r="I41" s="45">
        <v>363141.13132380502</v>
      </c>
      <c r="J41" s="45">
        <v>371856.51847557601</v>
      </c>
      <c r="K41" s="45">
        <v>380781.07491899002</v>
      </c>
      <c r="L41" s="45">
        <v>389919.82071704598</v>
      </c>
      <c r="M41" s="45">
        <v>399277.89641425502</v>
      </c>
      <c r="N41" s="58">
        <v>408860.565928197</v>
      </c>
    </row>
    <row r="42" spans="1:15">
      <c r="A42" s="38">
        <f t="shared" si="8"/>
        <v>3</v>
      </c>
      <c r="B42" s="43" t="s">
        <v>16</v>
      </c>
      <c r="D42" s="57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58">
        <v>0</v>
      </c>
      <c r="O42" s="45"/>
    </row>
    <row r="43" spans="1:15">
      <c r="A43" s="38">
        <f t="shared" si="8"/>
        <v>4</v>
      </c>
      <c r="B43" s="43" t="s">
        <v>17</v>
      </c>
      <c r="D43" s="57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58">
        <v>0</v>
      </c>
    </row>
    <row r="44" spans="1:15">
      <c r="A44" s="38">
        <f t="shared" si="8"/>
        <v>5</v>
      </c>
      <c r="B44" s="43" t="s">
        <v>18</v>
      </c>
      <c r="D44" s="57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58">
        <v>0</v>
      </c>
    </row>
    <row r="45" spans="1:15">
      <c r="A45" s="38">
        <f t="shared" si="8"/>
        <v>6</v>
      </c>
      <c r="B45" s="43" t="s">
        <v>19</v>
      </c>
      <c r="D45" s="57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58">
        <v>0</v>
      </c>
    </row>
    <row r="46" spans="1:15">
      <c r="A46" s="38">
        <f t="shared" si="8"/>
        <v>7</v>
      </c>
      <c r="B46" s="43" t="s">
        <v>20</v>
      </c>
      <c r="D46" s="57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58">
        <v>0</v>
      </c>
    </row>
    <row r="47" spans="1:15">
      <c r="A47" s="38">
        <f t="shared" si="8"/>
        <v>8</v>
      </c>
      <c r="B47" s="43" t="s">
        <v>21</v>
      </c>
      <c r="D47" s="57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58">
        <v>0</v>
      </c>
    </row>
    <row r="48" spans="1:15">
      <c r="A48" s="38">
        <f t="shared" si="8"/>
        <v>9</v>
      </c>
      <c r="B48" s="43" t="s">
        <v>22</v>
      </c>
      <c r="D48" s="57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58">
        <v>0</v>
      </c>
    </row>
    <row r="49" spans="1:16">
      <c r="A49" s="38">
        <f t="shared" si="8"/>
        <v>10</v>
      </c>
      <c r="B49" s="47" t="s">
        <v>23</v>
      </c>
      <c r="D49" s="59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1">
        <v>0</v>
      </c>
    </row>
    <row r="50" spans="1:16">
      <c r="B50" s="51" t="str">
        <f>"Total "&amp;B38</f>
        <v>Total Costo de las Ventas</v>
      </c>
      <c r="C50" s="52"/>
      <c r="D50" s="53">
        <f t="shared" ref="D50:N50" si="9">SUM(D40:D49)</f>
        <v>0</v>
      </c>
      <c r="E50" s="53">
        <f t="shared" si="9"/>
        <v>1253656.1389247999</v>
      </c>
      <c r="F50" s="53">
        <f t="shared" si="9"/>
        <v>1412718.9571830072</v>
      </c>
      <c r="G50" s="53">
        <f t="shared" si="9"/>
        <v>1562879.8298914253</v>
      </c>
      <c r="H50" s="53">
        <f t="shared" si="9"/>
        <v>1705714.6761930315</v>
      </c>
      <c r="I50" s="53">
        <f t="shared" si="9"/>
        <v>1843239.0596568298</v>
      </c>
      <c r="J50" s="53">
        <f t="shared" si="9"/>
        <v>1999964.2396419032</v>
      </c>
      <c r="K50" s="53">
        <f t="shared" si="9"/>
        <v>2171699.5682019503</v>
      </c>
      <c r="L50" s="53">
        <f t="shared" si="9"/>
        <v>2359930.1633283021</v>
      </c>
      <c r="M50" s="53">
        <f t="shared" si="9"/>
        <v>2566289.2732866369</v>
      </c>
      <c r="N50" s="53">
        <f t="shared" si="9"/>
        <v>2792573.0804878175</v>
      </c>
    </row>
    <row r="51" spans="1:16">
      <c r="B51" s="62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6">
      <c r="D52" s="21">
        <f t="shared" ref="D52:N52" si="10">D$9</f>
        <v>0</v>
      </c>
      <c r="E52" s="21">
        <f t="shared" si="10"/>
        <v>1</v>
      </c>
      <c r="F52" s="21">
        <f t="shared" si="10"/>
        <v>2</v>
      </c>
      <c r="G52" s="21">
        <f t="shared" si="10"/>
        <v>3</v>
      </c>
      <c r="H52" s="21">
        <f t="shared" si="10"/>
        <v>4</v>
      </c>
      <c r="I52" s="21">
        <f t="shared" si="10"/>
        <v>5</v>
      </c>
      <c r="J52" s="21">
        <f t="shared" si="10"/>
        <v>6</v>
      </c>
      <c r="K52" s="21">
        <f t="shared" si="10"/>
        <v>7</v>
      </c>
      <c r="L52" s="21">
        <f t="shared" si="10"/>
        <v>8</v>
      </c>
      <c r="M52" s="21">
        <f t="shared" si="10"/>
        <v>9</v>
      </c>
      <c r="N52" s="21">
        <f t="shared" si="10"/>
        <v>10</v>
      </c>
    </row>
    <row r="53" spans="1:16" ht="18.75">
      <c r="B53" s="37" t="s">
        <v>24</v>
      </c>
      <c r="C53" s="37"/>
      <c r="D53" s="21">
        <f t="shared" ref="D53:N53" si="11">D$10</f>
        <v>2023</v>
      </c>
      <c r="E53" s="21">
        <f t="shared" si="11"/>
        <v>2024</v>
      </c>
      <c r="F53" s="21">
        <f t="shared" si="11"/>
        <v>2025</v>
      </c>
      <c r="G53" s="21">
        <f t="shared" si="11"/>
        <v>2026</v>
      </c>
      <c r="H53" s="21">
        <f t="shared" si="11"/>
        <v>2027</v>
      </c>
      <c r="I53" s="21">
        <f t="shared" si="11"/>
        <v>2028</v>
      </c>
      <c r="J53" s="21">
        <f t="shared" si="11"/>
        <v>2029</v>
      </c>
      <c r="K53" s="21">
        <f t="shared" si="11"/>
        <v>2030</v>
      </c>
      <c r="L53" s="21">
        <f t="shared" si="11"/>
        <v>2031</v>
      </c>
      <c r="M53" s="21">
        <f t="shared" si="11"/>
        <v>2032</v>
      </c>
      <c r="N53" s="21">
        <f t="shared" si="11"/>
        <v>2033</v>
      </c>
    </row>
    <row r="55" spans="1:16">
      <c r="A55" s="38">
        <v>1</v>
      </c>
      <c r="B55" s="39" t="s">
        <v>25</v>
      </c>
      <c r="D55" s="64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6">
        <v>0</v>
      </c>
    </row>
    <row r="56" spans="1:16">
      <c r="A56" s="38">
        <f>A55+1</f>
        <v>2</v>
      </c>
      <c r="B56" s="43" t="s">
        <v>26</v>
      </c>
      <c r="D56" s="44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6">
        <v>0</v>
      </c>
    </row>
    <row r="57" spans="1:16">
      <c r="A57" s="38">
        <f>A56+1</f>
        <v>3</v>
      </c>
      <c r="B57" s="43" t="s">
        <v>27</v>
      </c>
      <c r="D57" s="44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6">
        <v>0</v>
      </c>
    </row>
    <row r="58" spans="1:16">
      <c r="A58" s="38">
        <f>A57+1</f>
        <v>4</v>
      </c>
      <c r="B58" s="43" t="s">
        <v>28</v>
      </c>
      <c r="D58" s="44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6">
        <v>0</v>
      </c>
    </row>
    <row r="59" spans="1:16">
      <c r="A59" s="38">
        <f>A58+1</f>
        <v>5</v>
      </c>
      <c r="B59" s="47" t="s">
        <v>29</v>
      </c>
      <c r="D59" s="48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50">
        <v>0</v>
      </c>
    </row>
    <row r="60" spans="1:16">
      <c r="B60" s="51" t="str">
        <f>"Total "&amp;B53</f>
        <v>Total Gastos de Administración y Ventas</v>
      </c>
      <c r="C60" s="52"/>
      <c r="D60" s="53">
        <f t="shared" ref="D60:N60" si="12">SUM(D55:D59)</f>
        <v>0</v>
      </c>
      <c r="E60" s="53">
        <f t="shared" si="12"/>
        <v>0</v>
      </c>
      <c r="F60" s="53">
        <f t="shared" si="12"/>
        <v>0</v>
      </c>
      <c r="G60" s="53">
        <f t="shared" si="12"/>
        <v>0</v>
      </c>
      <c r="H60" s="53">
        <f t="shared" si="12"/>
        <v>0</v>
      </c>
      <c r="I60" s="53">
        <f t="shared" si="12"/>
        <v>0</v>
      </c>
      <c r="J60" s="53">
        <f t="shared" si="12"/>
        <v>0</v>
      </c>
      <c r="K60" s="53">
        <f t="shared" si="12"/>
        <v>0</v>
      </c>
      <c r="L60" s="53">
        <f t="shared" si="12"/>
        <v>0</v>
      </c>
      <c r="M60" s="53">
        <f t="shared" si="12"/>
        <v>0</v>
      </c>
      <c r="N60" s="53">
        <f t="shared" si="12"/>
        <v>0</v>
      </c>
    </row>
    <row r="61" spans="1:16">
      <c r="B61" s="62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6">
      <c r="D62" s="21">
        <f t="shared" ref="D62:N62" si="13">D$9</f>
        <v>0</v>
      </c>
      <c r="E62" s="21">
        <f t="shared" si="13"/>
        <v>1</v>
      </c>
      <c r="F62" s="21">
        <f t="shared" si="13"/>
        <v>2</v>
      </c>
      <c r="G62" s="21">
        <f t="shared" si="13"/>
        <v>3</v>
      </c>
      <c r="H62" s="21">
        <f t="shared" si="13"/>
        <v>4</v>
      </c>
      <c r="I62" s="21">
        <f t="shared" si="13"/>
        <v>5</v>
      </c>
      <c r="J62" s="21">
        <f t="shared" si="13"/>
        <v>6</v>
      </c>
      <c r="K62" s="21">
        <f t="shared" si="13"/>
        <v>7</v>
      </c>
      <c r="L62" s="21">
        <f t="shared" si="13"/>
        <v>8</v>
      </c>
      <c r="M62" s="21">
        <f t="shared" si="13"/>
        <v>9</v>
      </c>
      <c r="N62" s="21">
        <f t="shared" si="13"/>
        <v>10</v>
      </c>
    </row>
    <row r="63" spans="1:16" ht="18.75">
      <c r="B63" s="37" t="s">
        <v>30</v>
      </c>
      <c r="C63" s="37"/>
      <c r="D63" s="21">
        <f t="shared" ref="D63:N63" si="14">D$10</f>
        <v>2023</v>
      </c>
      <c r="E63" s="21">
        <f t="shared" si="14"/>
        <v>2024</v>
      </c>
      <c r="F63" s="21">
        <f t="shared" si="14"/>
        <v>2025</v>
      </c>
      <c r="G63" s="21">
        <f t="shared" si="14"/>
        <v>2026</v>
      </c>
      <c r="H63" s="21">
        <f t="shared" si="14"/>
        <v>2027</v>
      </c>
      <c r="I63" s="21">
        <f t="shared" si="14"/>
        <v>2028</v>
      </c>
      <c r="J63" s="21">
        <f t="shared" si="14"/>
        <v>2029</v>
      </c>
      <c r="K63" s="21">
        <f t="shared" si="14"/>
        <v>2030</v>
      </c>
      <c r="L63" s="21">
        <f t="shared" si="14"/>
        <v>2031</v>
      </c>
      <c r="M63" s="21">
        <f t="shared" si="14"/>
        <v>2032</v>
      </c>
      <c r="N63" s="21">
        <f t="shared" si="14"/>
        <v>2033</v>
      </c>
      <c r="P63" s="37" t="s">
        <v>31</v>
      </c>
    </row>
    <row r="65" spans="1:16">
      <c r="A65" s="38">
        <v>1</v>
      </c>
      <c r="B65" s="39" t="s">
        <v>32</v>
      </c>
      <c r="D65" s="64">
        <v>515469.24465120002</v>
      </c>
      <c r="E65" s="65">
        <v>0</v>
      </c>
      <c r="F65" s="65">
        <v>0</v>
      </c>
      <c r="G65" s="65">
        <v>1019056.69271344</v>
      </c>
      <c r="H65" s="65">
        <v>0</v>
      </c>
      <c r="I65" s="65">
        <v>0</v>
      </c>
      <c r="J65" s="65">
        <v>591946.25357021997</v>
      </c>
      <c r="K65" s="65">
        <v>0</v>
      </c>
      <c r="L65" s="65">
        <v>0</v>
      </c>
      <c r="M65" s="65">
        <v>682467.56531256402</v>
      </c>
      <c r="N65" s="66">
        <v>0</v>
      </c>
      <c r="P65" s="67">
        <v>10</v>
      </c>
    </row>
    <row r="66" spans="1:16">
      <c r="A66" s="38">
        <f>A65+1</f>
        <v>2</v>
      </c>
      <c r="B66" s="43" t="s">
        <v>33</v>
      </c>
      <c r="D66" s="44">
        <v>268995.77520480001</v>
      </c>
      <c r="E66" s="45">
        <v>0</v>
      </c>
      <c r="F66" s="45">
        <v>0</v>
      </c>
      <c r="G66" s="45">
        <v>231157.16764640101</v>
      </c>
      <c r="H66" s="45">
        <v>0</v>
      </c>
      <c r="I66" s="45">
        <v>0</v>
      </c>
      <c r="J66" s="45">
        <v>134272.30309214399</v>
      </c>
      <c r="K66" s="45">
        <v>0</v>
      </c>
      <c r="L66" s="45">
        <v>0</v>
      </c>
      <c r="M66" s="45">
        <v>154805.425708022</v>
      </c>
      <c r="N66" s="46">
        <v>0</v>
      </c>
      <c r="P66" s="68">
        <v>10</v>
      </c>
    </row>
    <row r="67" spans="1:16">
      <c r="A67" s="38">
        <f>A66+1</f>
        <v>3</v>
      </c>
      <c r="B67" s="43" t="s">
        <v>34</v>
      </c>
      <c r="D67" s="44">
        <v>70000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6">
        <v>0</v>
      </c>
      <c r="P67" s="68">
        <v>10</v>
      </c>
    </row>
    <row r="68" spans="1:16">
      <c r="A68" s="38">
        <f>A67+1</f>
        <v>4</v>
      </c>
      <c r="B68" s="43" t="s">
        <v>35</v>
      </c>
      <c r="D68" s="44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6">
        <v>0</v>
      </c>
      <c r="P68" s="68">
        <v>10</v>
      </c>
    </row>
    <row r="69" spans="1:16">
      <c r="A69" s="38">
        <f>A68+1</f>
        <v>5</v>
      </c>
      <c r="B69" s="47" t="s">
        <v>36</v>
      </c>
      <c r="D69" s="48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50">
        <v>0</v>
      </c>
      <c r="P69" s="69">
        <v>3</v>
      </c>
    </row>
    <row r="70" spans="1:16">
      <c r="B70" s="51" t="str">
        <f>"Total "&amp;B63</f>
        <v>Total Inversiones</v>
      </c>
      <c r="C70" s="52"/>
      <c r="D70" s="53">
        <f t="shared" ref="D70:N70" si="15">SUM(D65:D69)</f>
        <v>854465.01985600009</v>
      </c>
      <c r="E70" s="53">
        <f t="shared" si="15"/>
        <v>0</v>
      </c>
      <c r="F70" s="53">
        <f t="shared" si="15"/>
        <v>0</v>
      </c>
      <c r="G70" s="53">
        <f t="shared" si="15"/>
        <v>1250213.860359841</v>
      </c>
      <c r="H70" s="53">
        <f t="shared" si="15"/>
        <v>0</v>
      </c>
      <c r="I70" s="53">
        <f t="shared" si="15"/>
        <v>0</v>
      </c>
      <c r="J70" s="53">
        <f t="shared" si="15"/>
        <v>726218.55666236393</v>
      </c>
      <c r="K70" s="53">
        <f t="shared" si="15"/>
        <v>0</v>
      </c>
      <c r="L70" s="53">
        <f t="shared" si="15"/>
        <v>0</v>
      </c>
      <c r="M70" s="53">
        <f t="shared" si="15"/>
        <v>837272.99102058599</v>
      </c>
      <c r="N70" s="53">
        <f t="shared" si="15"/>
        <v>0</v>
      </c>
    </row>
    <row r="71" spans="1:16">
      <c r="A71" s="38"/>
      <c r="B71" s="70"/>
      <c r="P71" s="71"/>
    </row>
    <row r="72" spans="1:16" ht="18.75">
      <c r="A72" s="38"/>
      <c r="B72" s="37" t="s">
        <v>37</v>
      </c>
      <c r="C72" s="37"/>
      <c r="D72" s="21">
        <f t="shared" ref="D72:N72" si="16">D$10</f>
        <v>2023</v>
      </c>
      <c r="E72" s="21">
        <f t="shared" si="16"/>
        <v>2024</v>
      </c>
      <c r="F72" s="21">
        <f t="shared" si="16"/>
        <v>2025</v>
      </c>
      <c r="G72" s="21">
        <f t="shared" si="16"/>
        <v>2026</v>
      </c>
      <c r="H72" s="21">
        <f t="shared" si="16"/>
        <v>2027</v>
      </c>
      <c r="I72" s="21">
        <f t="shared" si="16"/>
        <v>2028</v>
      </c>
      <c r="J72" s="21">
        <f t="shared" si="16"/>
        <v>2029</v>
      </c>
      <c r="K72" s="21">
        <f t="shared" si="16"/>
        <v>2030</v>
      </c>
      <c r="L72" s="21">
        <f t="shared" si="16"/>
        <v>2031</v>
      </c>
      <c r="M72" s="21">
        <f t="shared" si="16"/>
        <v>2032</v>
      </c>
      <c r="N72" s="21">
        <f t="shared" si="16"/>
        <v>2033</v>
      </c>
      <c r="P72" s="71"/>
    </row>
    <row r="73" spans="1:16">
      <c r="A73" s="38"/>
      <c r="B73" s="16" t="str">
        <f>B$65&amp;" "&amp;C73</f>
        <v>Compresores 2023</v>
      </c>
      <c r="C73" s="72">
        <f>D63</f>
        <v>2023</v>
      </c>
      <c r="D73" s="73">
        <f t="shared" ref="D73:N73" si="17">IF(D$63&lt;=$C73,0,IF(D$63&gt;$C73+$P65,0,-$D65/$P65))</f>
        <v>0</v>
      </c>
      <c r="E73" s="73">
        <f t="shared" si="17"/>
        <v>-51546.924465119999</v>
      </c>
      <c r="F73" s="73">
        <f t="shared" si="17"/>
        <v>-51546.924465119999</v>
      </c>
      <c r="G73" s="73">
        <f t="shared" si="17"/>
        <v>-51546.924465119999</v>
      </c>
      <c r="H73" s="73">
        <f t="shared" si="17"/>
        <v>-51546.924465119999</v>
      </c>
      <c r="I73" s="73">
        <f t="shared" si="17"/>
        <v>-51546.924465119999</v>
      </c>
      <c r="J73" s="73">
        <f t="shared" si="17"/>
        <v>-51546.924465119999</v>
      </c>
      <c r="K73" s="73">
        <f t="shared" si="17"/>
        <v>-51546.924465119999</v>
      </c>
      <c r="L73" s="73">
        <f t="shared" si="17"/>
        <v>-51546.924465119999</v>
      </c>
      <c r="M73" s="73">
        <f t="shared" si="17"/>
        <v>-51546.924465119999</v>
      </c>
      <c r="N73" s="73">
        <f t="shared" si="17"/>
        <v>-51546.924465119999</v>
      </c>
      <c r="P73" s="71"/>
    </row>
    <row r="74" spans="1:16">
      <c r="A74" s="38"/>
      <c r="B74" s="16" t="str">
        <f>B$66&amp;" "&amp;C74</f>
        <v>Secadores 2023</v>
      </c>
      <c r="C74" s="72">
        <f>C73</f>
        <v>2023</v>
      </c>
      <c r="D74" s="73">
        <f t="shared" ref="D74:N74" si="18">IF(D$63&lt;=$C74,0,IF(D$63&gt;$C74+$P66,0,-$D66/$P66))</f>
        <v>0</v>
      </c>
      <c r="E74" s="73">
        <f t="shared" si="18"/>
        <v>-26899.577520480001</v>
      </c>
      <c r="F74" s="73">
        <f t="shared" si="18"/>
        <v>-26899.577520480001</v>
      </c>
      <c r="G74" s="73">
        <f t="shared" si="18"/>
        <v>-26899.577520480001</v>
      </c>
      <c r="H74" s="73">
        <f t="shared" si="18"/>
        <v>-26899.577520480001</v>
      </c>
      <c r="I74" s="73">
        <f t="shared" si="18"/>
        <v>-26899.577520480001</v>
      </c>
      <c r="J74" s="73">
        <f t="shared" si="18"/>
        <v>-26899.577520480001</v>
      </c>
      <c r="K74" s="73">
        <f t="shared" si="18"/>
        <v>-26899.577520480001</v>
      </c>
      <c r="L74" s="73">
        <f t="shared" si="18"/>
        <v>-26899.577520480001</v>
      </c>
      <c r="M74" s="73">
        <f t="shared" si="18"/>
        <v>-26899.577520480001</v>
      </c>
      <c r="N74" s="73">
        <f t="shared" si="18"/>
        <v>-26899.577520480001</v>
      </c>
      <c r="P74" s="71"/>
    </row>
    <row r="75" spans="1:16">
      <c r="A75" s="38"/>
      <c r="B75" s="16" t="str">
        <f>B$67&amp;" "&amp;C75</f>
        <v>Red de aire 2023</v>
      </c>
      <c r="C75" s="72">
        <f>C74</f>
        <v>2023</v>
      </c>
      <c r="D75" s="73">
        <f t="shared" ref="D75:N75" si="19">IF(D$63&lt;=$C75,0,IF(D$63&gt;$C75+$P67,0,-$D67/$P67))</f>
        <v>0</v>
      </c>
      <c r="E75" s="73">
        <f t="shared" si="19"/>
        <v>-7000</v>
      </c>
      <c r="F75" s="73">
        <f t="shared" si="19"/>
        <v>-7000</v>
      </c>
      <c r="G75" s="73">
        <f t="shared" si="19"/>
        <v>-7000</v>
      </c>
      <c r="H75" s="73">
        <f t="shared" si="19"/>
        <v>-7000</v>
      </c>
      <c r="I75" s="73">
        <f t="shared" si="19"/>
        <v>-7000</v>
      </c>
      <c r="J75" s="73">
        <f t="shared" si="19"/>
        <v>-7000</v>
      </c>
      <c r="K75" s="73">
        <f t="shared" si="19"/>
        <v>-7000</v>
      </c>
      <c r="L75" s="73">
        <f t="shared" si="19"/>
        <v>-7000</v>
      </c>
      <c r="M75" s="73">
        <f t="shared" si="19"/>
        <v>-7000</v>
      </c>
      <c r="N75" s="73">
        <f t="shared" si="19"/>
        <v>-7000</v>
      </c>
      <c r="P75" s="71"/>
    </row>
    <row r="76" spans="1:16">
      <c r="A76" s="38"/>
      <c r="B76" s="16" t="str">
        <f>B$68&amp;" "&amp;C76</f>
        <v>Inversión 4 2023</v>
      </c>
      <c r="C76" s="72">
        <f>C75</f>
        <v>2023</v>
      </c>
      <c r="D76" s="73">
        <f t="shared" ref="D76:N76" si="20">IF(D$63&lt;=$C76,0,IF(D$63&gt;$C76+$P68,0,-$D68/$P68))</f>
        <v>0</v>
      </c>
      <c r="E76" s="73">
        <f t="shared" si="20"/>
        <v>0</v>
      </c>
      <c r="F76" s="73">
        <f t="shared" si="20"/>
        <v>0</v>
      </c>
      <c r="G76" s="73">
        <f t="shared" si="20"/>
        <v>0</v>
      </c>
      <c r="H76" s="73">
        <f t="shared" si="20"/>
        <v>0</v>
      </c>
      <c r="I76" s="73">
        <f t="shared" si="20"/>
        <v>0</v>
      </c>
      <c r="J76" s="73">
        <f t="shared" si="20"/>
        <v>0</v>
      </c>
      <c r="K76" s="73">
        <f t="shared" si="20"/>
        <v>0</v>
      </c>
      <c r="L76" s="73">
        <f t="shared" si="20"/>
        <v>0</v>
      </c>
      <c r="M76" s="73">
        <f t="shared" si="20"/>
        <v>0</v>
      </c>
      <c r="N76" s="73">
        <f t="shared" si="20"/>
        <v>0</v>
      </c>
      <c r="P76" s="71"/>
    </row>
    <row r="77" spans="1:16">
      <c r="A77" s="38"/>
      <c r="B77" s="16" t="str">
        <f>B$69&amp;" "&amp;C77</f>
        <v>Inversión 5 2023</v>
      </c>
      <c r="C77" s="72">
        <f>C76</f>
        <v>2023</v>
      </c>
      <c r="D77" s="73">
        <f t="shared" ref="D77:N77" si="21">IF(D$63&lt;=$C77,0,IF(D$63&gt;$C77+$P69,0,-$D69/$P69))</f>
        <v>0</v>
      </c>
      <c r="E77" s="73">
        <f t="shared" si="21"/>
        <v>0</v>
      </c>
      <c r="F77" s="73">
        <f t="shared" si="21"/>
        <v>0</v>
      </c>
      <c r="G77" s="73">
        <f t="shared" si="21"/>
        <v>0</v>
      </c>
      <c r="H77" s="73">
        <f t="shared" si="21"/>
        <v>0</v>
      </c>
      <c r="I77" s="73">
        <f t="shared" si="21"/>
        <v>0</v>
      </c>
      <c r="J77" s="73">
        <f t="shared" si="21"/>
        <v>0</v>
      </c>
      <c r="K77" s="73">
        <f t="shared" si="21"/>
        <v>0</v>
      </c>
      <c r="L77" s="73">
        <f t="shared" si="21"/>
        <v>0</v>
      </c>
      <c r="M77" s="73">
        <f t="shared" si="21"/>
        <v>0</v>
      </c>
      <c r="N77" s="73">
        <f t="shared" si="21"/>
        <v>0</v>
      </c>
      <c r="P77" s="71"/>
    </row>
    <row r="78" spans="1:16">
      <c r="A78" s="38"/>
      <c r="B78" s="74" t="str">
        <f>B$193&amp;" "&amp;C78</f>
        <v>Compresores, secadores y filtros 2024</v>
      </c>
      <c r="C78" s="75">
        <f t="shared" ref="C78:C109" si="22">C73+1</f>
        <v>2024</v>
      </c>
      <c r="D78" s="76">
        <f t="shared" ref="D78:N78" si="23">IF(D$63&lt;=$C78,0,IF(D$63&gt;$C78+$P65,0,-$E65/$P65))</f>
        <v>0</v>
      </c>
      <c r="E78" s="76">
        <f t="shared" si="23"/>
        <v>0</v>
      </c>
      <c r="F78" s="76">
        <f t="shared" si="23"/>
        <v>0</v>
      </c>
      <c r="G78" s="76">
        <f t="shared" si="23"/>
        <v>0</v>
      </c>
      <c r="H78" s="76">
        <f t="shared" si="23"/>
        <v>0</v>
      </c>
      <c r="I78" s="76">
        <f t="shared" si="23"/>
        <v>0</v>
      </c>
      <c r="J78" s="76">
        <f t="shared" si="23"/>
        <v>0</v>
      </c>
      <c r="K78" s="76">
        <f t="shared" si="23"/>
        <v>0</v>
      </c>
      <c r="L78" s="76">
        <f t="shared" si="23"/>
        <v>0</v>
      </c>
      <c r="M78" s="76">
        <f t="shared" si="23"/>
        <v>0</v>
      </c>
      <c r="N78" s="76">
        <f t="shared" si="23"/>
        <v>0</v>
      </c>
      <c r="P78" s="71"/>
    </row>
    <row r="79" spans="1:16">
      <c r="A79" s="38"/>
      <c r="B79" s="74" t="str">
        <f>B$194&amp;" "&amp;C79</f>
        <v>Tanque 2024</v>
      </c>
      <c r="C79" s="75">
        <f t="shared" si="22"/>
        <v>2024</v>
      </c>
      <c r="D79" s="76">
        <f t="shared" ref="D79:N79" si="24">IF(D$63&lt;=$C79,0,IF(D$63&gt;$C79+$P66,0,-$E66/$P66))</f>
        <v>0</v>
      </c>
      <c r="E79" s="76">
        <f t="shared" si="24"/>
        <v>0</v>
      </c>
      <c r="F79" s="76">
        <f t="shared" si="24"/>
        <v>0</v>
      </c>
      <c r="G79" s="76">
        <f t="shared" si="24"/>
        <v>0</v>
      </c>
      <c r="H79" s="76">
        <f t="shared" si="24"/>
        <v>0</v>
      </c>
      <c r="I79" s="76">
        <f t="shared" si="24"/>
        <v>0</v>
      </c>
      <c r="J79" s="76">
        <f t="shared" si="24"/>
        <v>0</v>
      </c>
      <c r="K79" s="76">
        <f t="shared" si="24"/>
        <v>0</v>
      </c>
      <c r="L79" s="76">
        <f t="shared" si="24"/>
        <v>0</v>
      </c>
      <c r="M79" s="76">
        <f t="shared" si="24"/>
        <v>0</v>
      </c>
      <c r="N79" s="76">
        <f t="shared" si="24"/>
        <v>0</v>
      </c>
      <c r="P79" s="71"/>
    </row>
    <row r="80" spans="1:16">
      <c r="A80" s="38"/>
      <c r="B80" s="74" t="str">
        <f>B$195&amp;" "&amp;C80</f>
        <v>Red de aire, ductos, AQUAMAT y montaje 2024</v>
      </c>
      <c r="C80" s="75">
        <f t="shared" si="22"/>
        <v>2024</v>
      </c>
      <c r="D80" s="76">
        <f t="shared" ref="D80:N80" si="25">IF(D$63&lt;=$C80,0,IF(D$63&gt;$C80+$P67,0,-$E67/$P67))</f>
        <v>0</v>
      </c>
      <c r="E80" s="76">
        <f t="shared" si="25"/>
        <v>0</v>
      </c>
      <c r="F80" s="76">
        <f t="shared" si="25"/>
        <v>0</v>
      </c>
      <c r="G80" s="76">
        <f t="shared" si="25"/>
        <v>0</v>
      </c>
      <c r="H80" s="76">
        <f t="shared" si="25"/>
        <v>0</v>
      </c>
      <c r="I80" s="76">
        <f t="shared" si="25"/>
        <v>0</v>
      </c>
      <c r="J80" s="76">
        <f t="shared" si="25"/>
        <v>0</v>
      </c>
      <c r="K80" s="76">
        <f t="shared" si="25"/>
        <v>0</v>
      </c>
      <c r="L80" s="76">
        <f t="shared" si="25"/>
        <v>0</v>
      </c>
      <c r="M80" s="76">
        <f t="shared" si="25"/>
        <v>0</v>
      </c>
      <c r="N80" s="76">
        <f t="shared" si="25"/>
        <v>0</v>
      </c>
      <c r="P80" s="71"/>
    </row>
    <row r="81" spans="1:16">
      <c r="A81" s="38"/>
      <c r="B81" s="74" t="str">
        <f>B$196&amp;" "&amp;C81</f>
        <v>Controladores 2024</v>
      </c>
      <c r="C81" s="75">
        <f t="shared" si="22"/>
        <v>2024</v>
      </c>
      <c r="D81" s="76">
        <f t="shared" ref="D81:N81" si="26">IF(D$63&lt;=$C81,0,IF(D$63&gt;$C81+$P68,0,-$E68/$P68))</f>
        <v>0</v>
      </c>
      <c r="E81" s="76">
        <f t="shared" si="26"/>
        <v>0</v>
      </c>
      <c r="F81" s="76">
        <f t="shared" si="26"/>
        <v>0</v>
      </c>
      <c r="G81" s="76">
        <f t="shared" si="26"/>
        <v>0</v>
      </c>
      <c r="H81" s="76">
        <f t="shared" si="26"/>
        <v>0</v>
      </c>
      <c r="I81" s="76">
        <f t="shared" si="26"/>
        <v>0</v>
      </c>
      <c r="J81" s="76">
        <f t="shared" si="26"/>
        <v>0</v>
      </c>
      <c r="K81" s="76">
        <f t="shared" si="26"/>
        <v>0</v>
      </c>
      <c r="L81" s="76">
        <f t="shared" si="26"/>
        <v>0</v>
      </c>
      <c r="M81" s="76">
        <f t="shared" si="26"/>
        <v>0</v>
      </c>
      <c r="N81" s="76">
        <f t="shared" si="26"/>
        <v>0</v>
      </c>
      <c r="P81" s="71"/>
    </row>
    <row r="82" spans="1:16">
      <c r="A82" s="38"/>
      <c r="B82" s="74" t="str">
        <f>B$197&amp;" "&amp;C82</f>
        <v>Equipo de comunicación y cómputo 2024</v>
      </c>
      <c r="C82" s="75">
        <f t="shared" si="22"/>
        <v>2024</v>
      </c>
      <c r="D82" s="76">
        <f t="shared" ref="D82:N82" si="27">IF(D$63&lt;=$C82,0,IF(D$63&gt;$C82+$P69,0,-$E69/$P69))</f>
        <v>0</v>
      </c>
      <c r="E82" s="76">
        <f t="shared" si="27"/>
        <v>0</v>
      </c>
      <c r="F82" s="76">
        <f t="shared" si="27"/>
        <v>0</v>
      </c>
      <c r="G82" s="76">
        <f t="shared" si="27"/>
        <v>0</v>
      </c>
      <c r="H82" s="76">
        <f t="shared" si="27"/>
        <v>0</v>
      </c>
      <c r="I82" s="76">
        <f t="shared" si="27"/>
        <v>0</v>
      </c>
      <c r="J82" s="76">
        <f t="shared" si="27"/>
        <v>0</v>
      </c>
      <c r="K82" s="76">
        <f t="shared" si="27"/>
        <v>0</v>
      </c>
      <c r="L82" s="76">
        <f t="shared" si="27"/>
        <v>0</v>
      </c>
      <c r="M82" s="76">
        <f t="shared" si="27"/>
        <v>0</v>
      </c>
      <c r="N82" s="76">
        <f t="shared" si="27"/>
        <v>0</v>
      </c>
      <c r="P82" s="71"/>
    </row>
    <row r="83" spans="1:16">
      <c r="A83" s="38"/>
      <c r="B83" s="16" t="str">
        <f>B$193&amp;" "&amp;C83</f>
        <v>Compresores, secadores y filtros 2025</v>
      </c>
      <c r="C83" s="72">
        <f t="shared" si="22"/>
        <v>2025</v>
      </c>
      <c r="D83" s="73">
        <f t="shared" ref="D83:N83" si="28">IF(D$63&lt;=$C83,0,IF(D$63&gt;$C83+$P65,0,-$F65/$P65))</f>
        <v>0</v>
      </c>
      <c r="E83" s="73">
        <f t="shared" si="28"/>
        <v>0</v>
      </c>
      <c r="F83" s="73">
        <f t="shared" si="28"/>
        <v>0</v>
      </c>
      <c r="G83" s="73">
        <f t="shared" si="28"/>
        <v>0</v>
      </c>
      <c r="H83" s="73">
        <f t="shared" si="28"/>
        <v>0</v>
      </c>
      <c r="I83" s="73">
        <f t="shared" si="28"/>
        <v>0</v>
      </c>
      <c r="J83" s="73">
        <f t="shared" si="28"/>
        <v>0</v>
      </c>
      <c r="K83" s="73">
        <f t="shared" si="28"/>
        <v>0</v>
      </c>
      <c r="L83" s="73">
        <f t="shared" si="28"/>
        <v>0</v>
      </c>
      <c r="M83" s="73">
        <f t="shared" si="28"/>
        <v>0</v>
      </c>
      <c r="N83" s="73">
        <f t="shared" si="28"/>
        <v>0</v>
      </c>
      <c r="P83" s="71"/>
    </row>
    <row r="84" spans="1:16">
      <c r="A84" s="38"/>
      <c r="B84" s="16" t="str">
        <f>B$194&amp;" "&amp;C84</f>
        <v>Tanque 2025</v>
      </c>
      <c r="C84" s="72">
        <f t="shared" si="22"/>
        <v>2025</v>
      </c>
      <c r="D84" s="73">
        <f t="shared" ref="D84:N84" si="29">IF(D$63&lt;=$C84,0,IF(D$63&gt;$C84+$P66,0,-$F66/$P66))</f>
        <v>0</v>
      </c>
      <c r="E84" s="73">
        <f t="shared" si="29"/>
        <v>0</v>
      </c>
      <c r="F84" s="73">
        <f t="shared" si="29"/>
        <v>0</v>
      </c>
      <c r="G84" s="73">
        <f t="shared" si="29"/>
        <v>0</v>
      </c>
      <c r="H84" s="73">
        <f t="shared" si="29"/>
        <v>0</v>
      </c>
      <c r="I84" s="73">
        <f t="shared" si="29"/>
        <v>0</v>
      </c>
      <c r="J84" s="73">
        <f t="shared" si="29"/>
        <v>0</v>
      </c>
      <c r="K84" s="73">
        <f t="shared" si="29"/>
        <v>0</v>
      </c>
      <c r="L84" s="73">
        <f t="shared" si="29"/>
        <v>0</v>
      </c>
      <c r="M84" s="73">
        <f t="shared" si="29"/>
        <v>0</v>
      </c>
      <c r="N84" s="73">
        <f t="shared" si="29"/>
        <v>0</v>
      </c>
      <c r="P84" s="71"/>
    </row>
    <row r="85" spans="1:16">
      <c r="A85" s="38"/>
      <c r="B85" s="16" t="str">
        <f>B$195&amp;" "&amp;C85</f>
        <v>Red de aire, ductos, AQUAMAT y montaje 2025</v>
      </c>
      <c r="C85" s="72">
        <f t="shared" si="22"/>
        <v>2025</v>
      </c>
      <c r="D85" s="73">
        <f t="shared" ref="D85:N85" si="30">IF(D$63&lt;=$C85,0,IF(D$63&gt;$C85+$P67,0,-$F67/$P67))</f>
        <v>0</v>
      </c>
      <c r="E85" s="73">
        <f t="shared" si="30"/>
        <v>0</v>
      </c>
      <c r="F85" s="73">
        <f t="shared" si="30"/>
        <v>0</v>
      </c>
      <c r="G85" s="73">
        <f t="shared" si="30"/>
        <v>0</v>
      </c>
      <c r="H85" s="73">
        <f t="shared" si="30"/>
        <v>0</v>
      </c>
      <c r="I85" s="73">
        <f t="shared" si="30"/>
        <v>0</v>
      </c>
      <c r="J85" s="73">
        <f t="shared" si="30"/>
        <v>0</v>
      </c>
      <c r="K85" s="73">
        <f t="shared" si="30"/>
        <v>0</v>
      </c>
      <c r="L85" s="73">
        <f t="shared" si="30"/>
        <v>0</v>
      </c>
      <c r="M85" s="73">
        <f t="shared" si="30"/>
        <v>0</v>
      </c>
      <c r="N85" s="73">
        <f t="shared" si="30"/>
        <v>0</v>
      </c>
      <c r="P85" s="71"/>
    </row>
    <row r="86" spans="1:16">
      <c r="A86" s="38"/>
      <c r="B86" s="16" t="str">
        <f>B$196&amp;" "&amp;C86</f>
        <v>Controladores 2025</v>
      </c>
      <c r="C86" s="72">
        <f t="shared" si="22"/>
        <v>2025</v>
      </c>
      <c r="D86" s="73">
        <f t="shared" ref="D86:N86" si="31">IF(D$63&lt;=$C86,0,IF(D$63&gt;$C86+$P68,0,-$F68/$P68))</f>
        <v>0</v>
      </c>
      <c r="E86" s="73">
        <f t="shared" si="31"/>
        <v>0</v>
      </c>
      <c r="F86" s="73">
        <f t="shared" si="31"/>
        <v>0</v>
      </c>
      <c r="G86" s="73">
        <f t="shared" si="31"/>
        <v>0</v>
      </c>
      <c r="H86" s="73">
        <f t="shared" si="31"/>
        <v>0</v>
      </c>
      <c r="I86" s="73">
        <f t="shared" si="31"/>
        <v>0</v>
      </c>
      <c r="J86" s="73">
        <f t="shared" si="31"/>
        <v>0</v>
      </c>
      <c r="K86" s="73">
        <f t="shared" si="31"/>
        <v>0</v>
      </c>
      <c r="L86" s="73">
        <f t="shared" si="31"/>
        <v>0</v>
      </c>
      <c r="M86" s="73">
        <f t="shared" si="31"/>
        <v>0</v>
      </c>
      <c r="N86" s="73">
        <f t="shared" si="31"/>
        <v>0</v>
      </c>
      <c r="P86" s="71"/>
    </row>
    <row r="87" spans="1:16">
      <c r="A87" s="38"/>
      <c r="B87" s="16" t="str">
        <f>B$197&amp;" "&amp;C87</f>
        <v>Equipo de comunicación y cómputo 2025</v>
      </c>
      <c r="C87" s="72">
        <f t="shared" si="22"/>
        <v>2025</v>
      </c>
      <c r="D87" s="73">
        <f t="shared" ref="D87:N87" si="32">IF(D$63&lt;=$C87,0,IF(D$63&gt;$C87+$P69,0,-$F69/$P69))</f>
        <v>0</v>
      </c>
      <c r="E87" s="73">
        <f t="shared" si="32"/>
        <v>0</v>
      </c>
      <c r="F87" s="73">
        <f t="shared" si="32"/>
        <v>0</v>
      </c>
      <c r="G87" s="73">
        <f t="shared" si="32"/>
        <v>0</v>
      </c>
      <c r="H87" s="73">
        <f t="shared" si="32"/>
        <v>0</v>
      </c>
      <c r="I87" s="73">
        <f t="shared" si="32"/>
        <v>0</v>
      </c>
      <c r="J87" s="73">
        <f t="shared" si="32"/>
        <v>0</v>
      </c>
      <c r="K87" s="73">
        <f t="shared" si="32"/>
        <v>0</v>
      </c>
      <c r="L87" s="73">
        <f t="shared" si="32"/>
        <v>0</v>
      </c>
      <c r="M87" s="73">
        <f t="shared" si="32"/>
        <v>0</v>
      </c>
      <c r="N87" s="73">
        <f t="shared" si="32"/>
        <v>0</v>
      </c>
      <c r="P87" s="71"/>
    </row>
    <row r="88" spans="1:16">
      <c r="A88" s="38"/>
      <c r="B88" s="74" t="str">
        <f>B$193&amp;" "&amp;C88</f>
        <v>Compresores, secadores y filtros 2026</v>
      </c>
      <c r="C88" s="75">
        <f t="shared" si="22"/>
        <v>2026</v>
      </c>
      <c r="D88" s="76">
        <f t="shared" ref="D88:N88" si="33">IF(D$63&lt;=$C88,0,IF(D$63&gt;$C88+$P65,0,-$G65/$P65))</f>
        <v>0</v>
      </c>
      <c r="E88" s="76">
        <f t="shared" si="33"/>
        <v>0</v>
      </c>
      <c r="F88" s="76">
        <f t="shared" si="33"/>
        <v>0</v>
      </c>
      <c r="G88" s="76">
        <f t="shared" si="33"/>
        <v>0</v>
      </c>
      <c r="H88" s="76">
        <f t="shared" si="33"/>
        <v>-101905.669271344</v>
      </c>
      <c r="I88" s="76">
        <f t="shared" si="33"/>
        <v>-101905.669271344</v>
      </c>
      <c r="J88" s="76">
        <f t="shared" si="33"/>
        <v>-101905.669271344</v>
      </c>
      <c r="K88" s="76">
        <f t="shared" si="33"/>
        <v>-101905.669271344</v>
      </c>
      <c r="L88" s="76">
        <f t="shared" si="33"/>
        <v>-101905.669271344</v>
      </c>
      <c r="M88" s="76">
        <f t="shared" si="33"/>
        <v>-101905.669271344</v>
      </c>
      <c r="N88" s="76">
        <f t="shared" si="33"/>
        <v>-101905.669271344</v>
      </c>
      <c r="P88" s="71"/>
    </row>
    <row r="89" spans="1:16">
      <c r="A89" s="38"/>
      <c r="B89" s="74" t="str">
        <f>B$194&amp;" "&amp;C89</f>
        <v>Tanque 2026</v>
      </c>
      <c r="C89" s="75">
        <f t="shared" si="22"/>
        <v>2026</v>
      </c>
      <c r="D89" s="76">
        <f t="shared" ref="D89:N89" si="34">IF(D$63&lt;=$C89,0,IF(D$63&gt;$C89+$P66,0,-$G66/$P66))</f>
        <v>0</v>
      </c>
      <c r="E89" s="76">
        <f t="shared" si="34"/>
        <v>0</v>
      </c>
      <c r="F89" s="76">
        <f t="shared" si="34"/>
        <v>0</v>
      </c>
      <c r="G89" s="76">
        <f t="shared" si="34"/>
        <v>0</v>
      </c>
      <c r="H89" s="76">
        <f t="shared" si="34"/>
        <v>-23115.716764640099</v>
      </c>
      <c r="I89" s="76">
        <f t="shared" si="34"/>
        <v>-23115.716764640099</v>
      </c>
      <c r="J89" s="76">
        <f t="shared" si="34"/>
        <v>-23115.716764640099</v>
      </c>
      <c r="K89" s="76">
        <f t="shared" si="34"/>
        <v>-23115.716764640099</v>
      </c>
      <c r="L89" s="76">
        <f t="shared" si="34"/>
        <v>-23115.716764640099</v>
      </c>
      <c r="M89" s="76">
        <f t="shared" si="34"/>
        <v>-23115.716764640099</v>
      </c>
      <c r="N89" s="76">
        <f t="shared" si="34"/>
        <v>-23115.716764640099</v>
      </c>
      <c r="P89" s="71"/>
    </row>
    <row r="90" spans="1:16">
      <c r="A90" s="38"/>
      <c r="B90" s="74" t="str">
        <f>B$195&amp;" "&amp;C90</f>
        <v>Red de aire, ductos, AQUAMAT y montaje 2026</v>
      </c>
      <c r="C90" s="75">
        <f t="shared" si="22"/>
        <v>2026</v>
      </c>
      <c r="D90" s="76">
        <f t="shared" ref="D90:N90" si="35">IF(D$63&lt;=$C90,0,IF(D$63&gt;$C90+$P67,0,-$G67/$P67))</f>
        <v>0</v>
      </c>
      <c r="E90" s="76">
        <f t="shared" si="35"/>
        <v>0</v>
      </c>
      <c r="F90" s="76">
        <f t="shared" si="35"/>
        <v>0</v>
      </c>
      <c r="G90" s="76">
        <f t="shared" si="35"/>
        <v>0</v>
      </c>
      <c r="H90" s="76">
        <f t="shared" si="35"/>
        <v>0</v>
      </c>
      <c r="I90" s="76">
        <f t="shared" si="35"/>
        <v>0</v>
      </c>
      <c r="J90" s="76">
        <f t="shared" si="35"/>
        <v>0</v>
      </c>
      <c r="K90" s="76">
        <f t="shared" si="35"/>
        <v>0</v>
      </c>
      <c r="L90" s="76">
        <f t="shared" si="35"/>
        <v>0</v>
      </c>
      <c r="M90" s="76">
        <f t="shared" si="35"/>
        <v>0</v>
      </c>
      <c r="N90" s="76">
        <f t="shared" si="35"/>
        <v>0</v>
      </c>
      <c r="P90" s="71"/>
    </row>
    <row r="91" spans="1:16">
      <c r="A91" s="38"/>
      <c r="B91" s="74" t="str">
        <f>B$196&amp;" "&amp;C91</f>
        <v>Controladores 2026</v>
      </c>
      <c r="C91" s="75">
        <f t="shared" si="22"/>
        <v>2026</v>
      </c>
      <c r="D91" s="76">
        <f t="shared" ref="D91:N91" si="36">IF(D$63&lt;=$C91,0,IF(D$63&gt;$C91+$P68,0,-$G68/$P68))</f>
        <v>0</v>
      </c>
      <c r="E91" s="76">
        <f t="shared" si="36"/>
        <v>0</v>
      </c>
      <c r="F91" s="76">
        <f t="shared" si="36"/>
        <v>0</v>
      </c>
      <c r="G91" s="76">
        <f t="shared" si="36"/>
        <v>0</v>
      </c>
      <c r="H91" s="76">
        <f t="shared" si="36"/>
        <v>0</v>
      </c>
      <c r="I91" s="76">
        <f t="shared" si="36"/>
        <v>0</v>
      </c>
      <c r="J91" s="76">
        <f t="shared" si="36"/>
        <v>0</v>
      </c>
      <c r="K91" s="76">
        <f t="shared" si="36"/>
        <v>0</v>
      </c>
      <c r="L91" s="76">
        <f t="shared" si="36"/>
        <v>0</v>
      </c>
      <c r="M91" s="76">
        <f t="shared" si="36"/>
        <v>0</v>
      </c>
      <c r="N91" s="76">
        <f t="shared" si="36"/>
        <v>0</v>
      </c>
      <c r="P91" s="71"/>
    </row>
    <row r="92" spans="1:16">
      <c r="A92" s="38"/>
      <c r="B92" s="74" t="str">
        <f>B$197&amp;" "&amp;C92</f>
        <v>Equipo de comunicación y cómputo 2026</v>
      </c>
      <c r="C92" s="75">
        <f t="shared" si="22"/>
        <v>2026</v>
      </c>
      <c r="D92" s="76">
        <f t="shared" ref="D92:N92" si="37">IF(D$63&lt;=$C92,0,IF(D$63&gt;$C92+$P69,0,-$G69/$P69))</f>
        <v>0</v>
      </c>
      <c r="E92" s="76">
        <f t="shared" si="37"/>
        <v>0</v>
      </c>
      <c r="F92" s="76">
        <f t="shared" si="37"/>
        <v>0</v>
      </c>
      <c r="G92" s="76">
        <f t="shared" si="37"/>
        <v>0</v>
      </c>
      <c r="H92" s="76">
        <f t="shared" si="37"/>
        <v>0</v>
      </c>
      <c r="I92" s="76">
        <f t="shared" si="37"/>
        <v>0</v>
      </c>
      <c r="J92" s="76">
        <f t="shared" si="37"/>
        <v>0</v>
      </c>
      <c r="K92" s="76">
        <f t="shared" si="37"/>
        <v>0</v>
      </c>
      <c r="L92" s="76">
        <f t="shared" si="37"/>
        <v>0</v>
      </c>
      <c r="M92" s="76">
        <f t="shared" si="37"/>
        <v>0</v>
      </c>
      <c r="N92" s="76">
        <f t="shared" si="37"/>
        <v>0</v>
      </c>
      <c r="P92" s="71"/>
    </row>
    <row r="93" spans="1:16">
      <c r="A93" s="38"/>
      <c r="B93" s="16" t="str">
        <f>B$193&amp;" "&amp;C93</f>
        <v>Compresores, secadores y filtros 2027</v>
      </c>
      <c r="C93" s="72">
        <f t="shared" si="22"/>
        <v>2027</v>
      </c>
      <c r="D93" s="73">
        <f t="shared" ref="D93:N93" si="38">IF(D$63&lt;=$C93,0,IF(D$63&gt;$C93+$P65,0,-$H65/$P65))</f>
        <v>0</v>
      </c>
      <c r="E93" s="73">
        <f t="shared" si="38"/>
        <v>0</v>
      </c>
      <c r="F93" s="73">
        <f t="shared" si="38"/>
        <v>0</v>
      </c>
      <c r="G93" s="73">
        <f t="shared" si="38"/>
        <v>0</v>
      </c>
      <c r="H93" s="73">
        <f t="shared" si="38"/>
        <v>0</v>
      </c>
      <c r="I93" s="73">
        <f t="shared" si="38"/>
        <v>0</v>
      </c>
      <c r="J93" s="73">
        <f t="shared" si="38"/>
        <v>0</v>
      </c>
      <c r="K93" s="73">
        <f t="shared" si="38"/>
        <v>0</v>
      </c>
      <c r="L93" s="73">
        <f t="shared" si="38"/>
        <v>0</v>
      </c>
      <c r="M93" s="73">
        <f t="shared" si="38"/>
        <v>0</v>
      </c>
      <c r="N93" s="73">
        <f t="shared" si="38"/>
        <v>0</v>
      </c>
      <c r="P93" s="71"/>
    </row>
    <row r="94" spans="1:16">
      <c r="A94" s="38"/>
      <c r="B94" s="16" t="str">
        <f>B$194&amp;" "&amp;C94</f>
        <v>Tanque 2027</v>
      </c>
      <c r="C94" s="72">
        <f t="shared" si="22"/>
        <v>2027</v>
      </c>
      <c r="D94" s="73">
        <f t="shared" ref="D94:N94" si="39">IF(D$63&lt;=$C94,0,IF(D$63&gt;$C94+$P66,0,-$H66/$P66))</f>
        <v>0</v>
      </c>
      <c r="E94" s="73">
        <f t="shared" si="39"/>
        <v>0</v>
      </c>
      <c r="F94" s="73">
        <f t="shared" si="39"/>
        <v>0</v>
      </c>
      <c r="G94" s="73">
        <f t="shared" si="39"/>
        <v>0</v>
      </c>
      <c r="H94" s="73">
        <f t="shared" si="39"/>
        <v>0</v>
      </c>
      <c r="I94" s="73">
        <f t="shared" si="39"/>
        <v>0</v>
      </c>
      <c r="J94" s="73">
        <f t="shared" si="39"/>
        <v>0</v>
      </c>
      <c r="K94" s="73">
        <f t="shared" si="39"/>
        <v>0</v>
      </c>
      <c r="L94" s="73">
        <f t="shared" si="39"/>
        <v>0</v>
      </c>
      <c r="M94" s="73">
        <f t="shared" si="39"/>
        <v>0</v>
      </c>
      <c r="N94" s="73">
        <f t="shared" si="39"/>
        <v>0</v>
      </c>
      <c r="P94" s="71"/>
    </row>
    <row r="95" spans="1:16">
      <c r="A95" s="38"/>
      <c r="B95" s="16" t="str">
        <f>B$195&amp;" "&amp;C95</f>
        <v>Red de aire, ductos, AQUAMAT y montaje 2027</v>
      </c>
      <c r="C95" s="72">
        <f t="shared" si="22"/>
        <v>2027</v>
      </c>
      <c r="D95" s="73">
        <f t="shared" ref="D95:N95" si="40">IF(D$63&lt;=$C95,0,IF(D$63&gt;$C95+$P67,0,-$H67/$P67))</f>
        <v>0</v>
      </c>
      <c r="E95" s="73">
        <f t="shared" si="40"/>
        <v>0</v>
      </c>
      <c r="F95" s="73">
        <f t="shared" si="40"/>
        <v>0</v>
      </c>
      <c r="G95" s="73">
        <f t="shared" si="40"/>
        <v>0</v>
      </c>
      <c r="H95" s="73">
        <f t="shared" si="40"/>
        <v>0</v>
      </c>
      <c r="I95" s="73">
        <f t="shared" si="40"/>
        <v>0</v>
      </c>
      <c r="J95" s="73">
        <f t="shared" si="40"/>
        <v>0</v>
      </c>
      <c r="K95" s="73">
        <f t="shared" si="40"/>
        <v>0</v>
      </c>
      <c r="L95" s="73">
        <f t="shared" si="40"/>
        <v>0</v>
      </c>
      <c r="M95" s="73">
        <f t="shared" si="40"/>
        <v>0</v>
      </c>
      <c r="N95" s="73">
        <f t="shared" si="40"/>
        <v>0</v>
      </c>
      <c r="P95" s="71"/>
    </row>
    <row r="96" spans="1:16">
      <c r="A96" s="38"/>
      <c r="B96" s="16" t="str">
        <f>B$196&amp;" "&amp;C96</f>
        <v>Controladores 2027</v>
      </c>
      <c r="C96" s="72">
        <f t="shared" si="22"/>
        <v>2027</v>
      </c>
      <c r="D96" s="73">
        <f t="shared" ref="D96:N96" si="41">IF(D$63&lt;=$C96,0,IF(D$63&gt;$C96+$P68,0,-$H68/$P68))</f>
        <v>0</v>
      </c>
      <c r="E96" s="73">
        <f t="shared" si="41"/>
        <v>0</v>
      </c>
      <c r="F96" s="73">
        <f t="shared" si="41"/>
        <v>0</v>
      </c>
      <c r="G96" s="73">
        <f t="shared" si="41"/>
        <v>0</v>
      </c>
      <c r="H96" s="73">
        <f t="shared" si="41"/>
        <v>0</v>
      </c>
      <c r="I96" s="73">
        <f t="shared" si="41"/>
        <v>0</v>
      </c>
      <c r="J96" s="73">
        <f t="shared" si="41"/>
        <v>0</v>
      </c>
      <c r="K96" s="73">
        <f t="shared" si="41"/>
        <v>0</v>
      </c>
      <c r="L96" s="73">
        <f t="shared" si="41"/>
        <v>0</v>
      </c>
      <c r="M96" s="73">
        <f t="shared" si="41"/>
        <v>0</v>
      </c>
      <c r="N96" s="73">
        <f t="shared" si="41"/>
        <v>0</v>
      </c>
      <c r="P96" s="71"/>
    </row>
    <row r="97" spans="1:16">
      <c r="A97" s="38"/>
      <c r="B97" s="16" t="str">
        <f>B$197&amp;" "&amp;C97</f>
        <v>Equipo de comunicación y cómputo 2027</v>
      </c>
      <c r="C97" s="72">
        <f t="shared" si="22"/>
        <v>2027</v>
      </c>
      <c r="D97" s="73">
        <f t="shared" ref="D97:N97" si="42">IF(D$63&lt;=$C97,0,IF(D$63&gt;$C97+$P69,0,-$H69/$P69))</f>
        <v>0</v>
      </c>
      <c r="E97" s="73">
        <f t="shared" si="42"/>
        <v>0</v>
      </c>
      <c r="F97" s="73">
        <f t="shared" si="42"/>
        <v>0</v>
      </c>
      <c r="G97" s="73">
        <f t="shared" si="42"/>
        <v>0</v>
      </c>
      <c r="H97" s="73">
        <f t="shared" si="42"/>
        <v>0</v>
      </c>
      <c r="I97" s="73">
        <f t="shared" si="42"/>
        <v>0</v>
      </c>
      <c r="J97" s="73">
        <f t="shared" si="42"/>
        <v>0</v>
      </c>
      <c r="K97" s="73">
        <f t="shared" si="42"/>
        <v>0</v>
      </c>
      <c r="L97" s="73">
        <f t="shared" si="42"/>
        <v>0</v>
      </c>
      <c r="M97" s="73">
        <f t="shared" si="42"/>
        <v>0</v>
      </c>
      <c r="N97" s="73">
        <f t="shared" si="42"/>
        <v>0</v>
      </c>
      <c r="P97" s="71"/>
    </row>
    <row r="98" spans="1:16">
      <c r="A98" s="38"/>
      <c r="B98" s="74" t="str">
        <f>B$193&amp;" "&amp;C98</f>
        <v>Compresores, secadores y filtros 2028</v>
      </c>
      <c r="C98" s="75">
        <f t="shared" si="22"/>
        <v>2028</v>
      </c>
      <c r="D98" s="76">
        <f t="shared" ref="D98:N98" si="43">IF(D$63&lt;=$C98,0,IF(D$63&gt;$C98+$P65,0,-$I65/$P65))</f>
        <v>0</v>
      </c>
      <c r="E98" s="76">
        <f t="shared" si="43"/>
        <v>0</v>
      </c>
      <c r="F98" s="76">
        <f t="shared" si="43"/>
        <v>0</v>
      </c>
      <c r="G98" s="76">
        <f t="shared" si="43"/>
        <v>0</v>
      </c>
      <c r="H98" s="76">
        <f t="shared" si="43"/>
        <v>0</v>
      </c>
      <c r="I98" s="76">
        <f t="shared" si="43"/>
        <v>0</v>
      </c>
      <c r="J98" s="76">
        <f t="shared" si="43"/>
        <v>0</v>
      </c>
      <c r="K98" s="76">
        <f t="shared" si="43"/>
        <v>0</v>
      </c>
      <c r="L98" s="76">
        <f t="shared" si="43"/>
        <v>0</v>
      </c>
      <c r="M98" s="76">
        <f t="shared" si="43"/>
        <v>0</v>
      </c>
      <c r="N98" s="76">
        <f t="shared" si="43"/>
        <v>0</v>
      </c>
      <c r="P98" s="71"/>
    </row>
    <row r="99" spans="1:16">
      <c r="A99" s="38"/>
      <c r="B99" s="74" t="str">
        <f>B$194&amp;" "&amp;C99</f>
        <v>Tanque 2028</v>
      </c>
      <c r="C99" s="75">
        <f t="shared" si="22"/>
        <v>2028</v>
      </c>
      <c r="D99" s="76">
        <f t="shared" ref="D99:N99" si="44">IF(D$63&lt;=$C99,0,IF(D$63&gt;$C99+$P66,0,-$I66/$P66))</f>
        <v>0</v>
      </c>
      <c r="E99" s="76">
        <f t="shared" si="44"/>
        <v>0</v>
      </c>
      <c r="F99" s="76">
        <f t="shared" si="44"/>
        <v>0</v>
      </c>
      <c r="G99" s="76">
        <f t="shared" si="44"/>
        <v>0</v>
      </c>
      <c r="H99" s="76">
        <f t="shared" si="44"/>
        <v>0</v>
      </c>
      <c r="I99" s="76">
        <f t="shared" si="44"/>
        <v>0</v>
      </c>
      <c r="J99" s="76">
        <f t="shared" si="44"/>
        <v>0</v>
      </c>
      <c r="K99" s="76">
        <f t="shared" si="44"/>
        <v>0</v>
      </c>
      <c r="L99" s="76">
        <f t="shared" si="44"/>
        <v>0</v>
      </c>
      <c r="M99" s="76">
        <f t="shared" si="44"/>
        <v>0</v>
      </c>
      <c r="N99" s="76">
        <f t="shared" si="44"/>
        <v>0</v>
      </c>
      <c r="P99" s="71"/>
    </row>
    <row r="100" spans="1:16">
      <c r="A100" s="38"/>
      <c r="B100" s="74" t="str">
        <f>B$195&amp;" "&amp;C100</f>
        <v>Red de aire, ductos, AQUAMAT y montaje 2028</v>
      </c>
      <c r="C100" s="75">
        <f t="shared" si="22"/>
        <v>2028</v>
      </c>
      <c r="D100" s="76">
        <f t="shared" ref="D100:N100" si="45">IF(D$63&lt;=$C100,0,IF(D$63&gt;$C100+$P67,0,-$I67/$P67))</f>
        <v>0</v>
      </c>
      <c r="E100" s="76">
        <f t="shared" si="45"/>
        <v>0</v>
      </c>
      <c r="F100" s="76">
        <f t="shared" si="45"/>
        <v>0</v>
      </c>
      <c r="G100" s="76">
        <f t="shared" si="45"/>
        <v>0</v>
      </c>
      <c r="H100" s="76">
        <f t="shared" si="45"/>
        <v>0</v>
      </c>
      <c r="I100" s="76">
        <f t="shared" si="45"/>
        <v>0</v>
      </c>
      <c r="J100" s="76">
        <f t="shared" si="45"/>
        <v>0</v>
      </c>
      <c r="K100" s="76">
        <f t="shared" si="45"/>
        <v>0</v>
      </c>
      <c r="L100" s="76">
        <f t="shared" si="45"/>
        <v>0</v>
      </c>
      <c r="M100" s="76">
        <f t="shared" si="45"/>
        <v>0</v>
      </c>
      <c r="N100" s="76">
        <f t="shared" si="45"/>
        <v>0</v>
      </c>
      <c r="P100" s="71"/>
    </row>
    <row r="101" spans="1:16">
      <c r="A101" s="38"/>
      <c r="B101" s="74" t="str">
        <f>B$196&amp;" "&amp;C101</f>
        <v>Controladores 2028</v>
      </c>
      <c r="C101" s="75">
        <f t="shared" si="22"/>
        <v>2028</v>
      </c>
      <c r="D101" s="76">
        <f t="shared" ref="D101:N101" si="46">IF(D$63&lt;=$C101,0,IF(D$63&gt;$C101+$P68,0,-$I68/$P68))</f>
        <v>0</v>
      </c>
      <c r="E101" s="76">
        <f t="shared" si="46"/>
        <v>0</v>
      </c>
      <c r="F101" s="76">
        <f t="shared" si="46"/>
        <v>0</v>
      </c>
      <c r="G101" s="76">
        <f t="shared" si="46"/>
        <v>0</v>
      </c>
      <c r="H101" s="76">
        <f t="shared" si="46"/>
        <v>0</v>
      </c>
      <c r="I101" s="76">
        <f t="shared" si="46"/>
        <v>0</v>
      </c>
      <c r="J101" s="76">
        <f t="shared" si="46"/>
        <v>0</v>
      </c>
      <c r="K101" s="76">
        <f t="shared" si="46"/>
        <v>0</v>
      </c>
      <c r="L101" s="76">
        <f t="shared" si="46"/>
        <v>0</v>
      </c>
      <c r="M101" s="76">
        <f t="shared" si="46"/>
        <v>0</v>
      </c>
      <c r="N101" s="76">
        <f t="shared" si="46"/>
        <v>0</v>
      </c>
      <c r="P101" s="71"/>
    </row>
    <row r="102" spans="1:16">
      <c r="A102" s="38"/>
      <c r="B102" s="74" t="str">
        <f>B$197&amp;" "&amp;C102</f>
        <v>Equipo de comunicación y cómputo 2028</v>
      </c>
      <c r="C102" s="75">
        <f t="shared" si="22"/>
        <v>2028</v>
      </c>
      <c r="D102" s="76">
        <f t="shared" ref="D102:N102" si="47">IF(D$63&lt;=$C102,0,IF(D$63&gt;$C102+$P69,0,-$I69/$P69))</f>
        <v>0</v>
      </c>
      <c r="E102" s="76">
        <f t="shared" si="47"/>
        <v>0</v>
      </c>
      <c r="F102" s="76">
        <f t="shared" si="47"/>
        <v>0</v>
      </c>
      <c r="G102" s="76">
        <f t="shared" si="47"/>
        <v>0</v>
      </c>
      <c r="H102" s="76">
        <f t="shared" si="47"/>
        <v>0</v>
      </c>
      <c r="I102" s="76">
        <f t="shared" si="47"/>
        <v>0</v>
      </c>
      <c r="J102" s="76">
        <f t="shared" si="47"/>
        <v>0</v>
      </c>
      <c r="K102" s="76">
        <f t="shared" si="47"/>
        <v>0</v>
      </c>
      <c r="L102" s="76">
        <f t="shared" si="47"/>
        <v>0</v>
      </c>
      <c r="M102" s="76">
        <f t="shared" si="47"/>
        <v>0</v>
      </c>
      <c r="N102" s="76">
        <f t="shared" si="47"/>
        <v>0</v>
      </c>
      <c r="P102" s="71"/>
    </row>
    <row r="103" spans="1:16">
      <c r="A103" s="38"/>
      <c r="B103" s="16" t="str">
        <f>B$193&amp;" "&amp;C103</f>
        <v>Compresores, secadores y filtros 2029</v>
      </c>
      <c r="C103" s="72">
        <f t="shared" si="22"/>
        <v>2029</v>
      </c>
      <c r="D103" s="73">
        <f t="shared" ref="D103:N103" si="48">IF(D$63&lt;=$C103,0,IF(D$63&gt;$C103+$P65,0,-$J65/$P65))</f>
        <v>0</v>
      </c>
      <c r="E103" s="73">
        <f t="shared" si="48"/>
        <v>0</v>
      </c>
      <c r="F103" s="73">
        <f t="shared" si="48"/>
        <v>0</v>
      </c>
      <c r="G103" s="73">
        <f t="shared" si="48"/>
        <v>0</v>
      </c>
      <c r="H103" s="73">
        <f t="shared" si="48"/>
        <v>0</v>
      </c>
      <c r="I103" s="73">
        <f t="shared" si="48"/>
        <v>0</v>
      </c>
      <c r="J103" s="73">
        <f t="shared" si="48"/>
        <v>0</v>
      </c>
      <c r="K103" s="73">
        <f t="shared" si="48"/>
        <v>-59194.625357022</v>
      </c>
      <c r="L103" s="73">
        <f t="shared" si="48"/>
        <v>-59194.625357022</v>
      </c>
      <c r="M103" s="73">
        <f t="shared" si="48"/>
        <v>-59194.625357022</v>
      </c>
      <c r="N103" s="73">
        <f t="shared" si="48"/>
        <v>-59194.625357022</v>
      </c>
      <c r="P103" s="71"/>
    </row>
    <row r="104" spans="1:16">
      <c r="A104" s="38"/>
      <c r="B104" s="16" t="str">
        <f>B$194&amp;" "&amp;C104</f>
        <v>Tanque 2029</v>
      </c>
      <c r="C104" s="72">
        <f t="shared" si="22"/>
        <v>2029</v>
      </c>
      <c r="D104" s="73">
        <f t="shared" ref="D104:N104" si="49">IF(D$63&lt;=$C104,0,IF(D$63&gt;$C104+$P66,0,-$J66/$P66))</f>
        <v>0</v>
      </c>
      <c r="E104" s="73">
        <f t="shared" si="49"/>
        <v>0</v>
      </c>
      <c r="F104" s="73">
        <f t="shared" si="49"/>
        <v>0</v>
      </c>
      <c r="G104" s="73">
        <f t="shared" si="49"/>
        <v>0</v>
      </c>
      <c r="H104" s="73">
        <f t="shared" si="49"/>
        <v>0</v>
      </c>
      <c r="I104" s="73">
        <f t="shared" si="49"/>
        <v>0</v>
      </c>
      <c r="J104" s="73">
        <f t="shared" si="49"/>
        <v>0</v>
      </c>
      <c r="K104" s="73">
        <f t="shared" si="49"/>
        <v>-13427.230309214399</v>
      </c>
      <c r="L104" s="73">
        <f t="shared" si="49"/>
        <v>-13427.230309214399</v>
      </c>
      <c r="M104" s="73">
        <f t="shared" si="49"/>
        <v>-13427.230309214399</v>
      </c>
      <c r="N104" s="73">
        <f t="shared" si="49"/>
        <v>-13427.230309214399</v>
      </c>
      <c r="P104" s="71"/>
    </row>
    <row r="105" spans="1:16">
      <c r="A105" s="38"/>
      <c r="B105" s="16" t="str">
        <f>B$195&amp;" "&amp;C105</f>
        <v>Red de aire, ductos, AQUAMAT y montaje 2029</v>
      </c>
      <c r="C105" s="72">
        <f t="shared" si="22"/>
        <v>2029</v>
      </c>
      <c r="D105" s="73">
        <f t="shared" ref="D105:N105" si="50">IF(D$63&lt;=$C105,0,IF(D$63&gt;$C105+$P67,0,-$J67/$P67))</f>
        <v>0</v>
      </c>
      <c r="E105" s="73">
        <f t="shared" si="50"/>
        <v>0</v>
      </c>
      <c r="F105" s="73">
        <f t="shared" si="50"/>
        <v>0</v>
      </c>
      <c r="G105" s="73">
        <f t="shared" si="50"/>
        <v>0</v>
      </c>
      <c r="H105" s="73">
        <f t="shared" si="50"/>
        <v>0</v>
      </c>
      <c r="I105" s="73">
        <f t="shared" si="50"/>
        <v>0</v>
      </c>
      <c r="J105" s="73">
        <f t="shared" si="50"/>
        <v>0</v>
      </c>
      <c r="K105" s="73">
        <f t="shared" si="50"/>
        <v>0</v>
      </c>
      <c r="L105" s="73">
        <f t="shared" si="50"/>
        <v>0</v>
      </c>
      <c r="M105" s="73">
        <f t="shared" si="50"/>
        <v>0</v>
      </c>
      <c r="N105" s="73">
        <f t="shared" si="50"/>
        <v>0</v>
      </c>
      <c r="P105" s="71"/>
    </row>
    <row r="106" spans="1:16">
      <c r="A106" s="38"/>
      <c r="B106" s="16" t="str">
        <f>B$196&amp;" "&amp;C106</f>
        <v>Controladores 2029</v>
      </c>
      <c r="C106" s="72">
        <f t="shared" si="22"/>
        <v>2029</v>
      </c>
      <c r="D106" s="73">
        <f t="shared" ref="D106:N106" si="51">IF(D$63&lt;=$C106,0,IF(D$63&gt;$C106+$P68,0,-$J68/$P68))</f>
        <v>0</v>
      </c>
      <c r="E106" s="73">
        <f t="shared" si="51"/>
        <v>0</v>
      </c>
      <c r="F106" s="73">
        <f t="shared" si="51"/>
        <v>0</v>
      </c>
      <c r="G106" s="73">
        <f t="shared" si="51"/>
        <v>0</v>
      </c>
      <c r="H106" s="73">
        <f t="shared" si="51"/>
        <v>0</v>
      </c>
      <c r="I106" s="73">
        <f t="shared" si="51"/>
        <v>0</v>
      </c>
      <c r="J106" s="73">
        <f t="shared" si="51"/>
        <v>0</v>
      </c>
      <c r="K106" s="73">
        <f t="shared" si="51"/>
        <v>0</v>
      </c>
      <c r="L106" s="73">
        <f t="shared" si="51"/>
        <v>0</v>
      </c>
      <c r="M106" s="73">
        <f t="shared" si="51"/>
        <v>0</v>
      </c>
      <c r="N106" s="73">
        <f t="shared" si="51"/>
        <v>0</v>
      </c>
      <c r="P106" s="71"/>
    </row>
    <row r="107" spans="1:16">
      <c r="A107" s="38"/>
      <c r="B107" s="16" t="str">
        <f>B$197&amp;" "&amp;C107</f>
        <v>Equipo de comunicación y cómputo 2029</v>
      </c>
      <c r="C107" s="72">
        <f t="shared" si="22"/>
        <v>2029</v>
      </c>
      <c r="D107" s="73">
        <f t="shared" ref="D107:N107" si="52">IF(D$63&lt;=$C107,0,IF(D$63&gt;$C107+$P69,0,-$J69/$P69))</f>
        <v>0</v>
      </c>
      <c r="E107" s="73">
        <f t="shared" si="52"/>
        <v>0</v>
      </c>
      <c r="F107" s="73">
        <f t="shared" si="52"/>
        <v>0</v>
      </c>
      <c r="G107" s="73">
        <f t="shared" si="52"/>
        <v>0</v>
      </c>
      <c r="H107" s="73">
        <f t="shared" si="52"/>
        <v>0</v>
      </c>
      <c r="I107" s="73">
        <f t="shared" si="52"/>
        <v>0</v>
      </c>
      <c r="J107" s="73">
        <f t="shared" si="52"/>
        <v>0</v>
      </c>
      <c r="K107" s="73">
        <f t="shared" si="52"/>
        <v>0</v>
      </c>
      <c r="L107" s="73">
        <f t="shared" si="52"/>
        <v>0</v>
      </c>
      <c r="M107" s="73">
        <f t="shared" si="52"/>
        <v>0</v>
      </c>
      <c r="N107" s="73">
        <f t="shared" si="52"/>
        <v>0</v>
      </c>
      <c r="P107" s="71"/>
    </row>
    <row r="108" spans="1:16">
      <c r="A108" s="38"/>
      <c r="B108" s="74" t="str">
        <f>B$193&amp;" "&amp;C108</f>
        <v>Compresores, secadores y filtros 2030</v>
      </c>
      <c r="C108" s="75">
        <f t="shared" si="22"/>
        <v>2030</v>
      </c>
      <c r="D108" s="76">
        <f t="shared" ref="D108:N108" si="53">IF(D$63&lt;=$C108,0,IF(D$63&gt;$C108+$P65,0,-$K65/$P65))</f>
        <v>0</v>
      </c>
      <c r="E108" s="76">
        <f t="shared" si="53"/>
        <v>0</v>
      </c>
      <c r="F108" s="76">
        <f t="shared" si="53"/>
        <v>0</v>
      </c>
      <c r="G108" s="76">
        <f t="shared" si="53"/>
        <v>0</v>
      </c>
      <c r="H108" s="76">
        <f t="shared" si="53"/>
        <v>0</v>
      </c>
      <c r="I108" s="76">
        <f t="shared" si="53"/>
        <v>0</v>
      </c>
      <c r="J108" s="76">
        <f t="shared" si="53"/>
        <v>0</v>
      </c>
      <c r="K108" s="76">
        <f t="shared" si="53"/>
        <v>0</v>
      </c>
      <c r="L108" s="76">
        <f t="shared" si="53"/>
        <v>0</v>
      </c>
      <c r="M108" s="76">
        <f t="shared" si="53"/>
        <v>0</v>
      </c>
      <c r="N108" s="76">
        <f t="shared" si="53"/>
        <v>0</v>
      </c>
      <c r="P108" s="71"/>
    </row>
    <row r="109" spans="1:16">
      <c r="A109" s="38"/>
      <c r="B109" s="74" t="str">
        <f>B$194&amp;" "&amp;C109</f>
        <v>Tanque 2030</v>
      </c>
      <c r="C109" s="75">
        <f t="shared" si="22"/>
        <v>2030</v>
      </c>
      <c r="D109" s="76">
        <f t="shared" ref="D109:N109" si="54">IF(D$63&lt;=$C109,0,IF(D$63&gt;$C109+$P66,0,-$K66/$P66))</f>
        <v>0</v>
      </c>
      <c r="E109" s="76">
        <f t="shared" si="54"/>
        <v>0</v>
      </c>
      <c r="F109" s="76">
        <f t="shared" si="54"/>
        <v>0</v>
      </c>
      <c r="G109" s="76">
        <f t="shared" si="54"/>
        <v>0</v>
      </c>
      <c r="H109" s="76">
        <f t="shared" si="54"/>
        <v>0</v>
      </c>
      <c r="I109" s="76">
        <f t="shared" si="54"/>
        <v>0</v>
      </c>
      <c r="J109" s="76">
        <f t="shared" si="54"/>
        <v>0</v>
      </c>
      <c r="K109" s="76">
        <f t="shared" si="54"/>
        <v>0</v>
      </c>
      <c r="L109" s="76">
        <f t="shared" si="54"/>
        <v>0</v>
      </c>
      <c r="M109" s="76">
        <f t="shared" si="54"/>
        <v>0</v>
      </c>
      <c r="N109" s="76">
        <f t="shared" si="54"/>
        <v>0</v>
      </c>
      <c r="P109" s="71"/>
    </row>
    <row r="110" spans="1:16">
      <c r="A110" s="38"/>
      <c r="B110" s="74" t="str">
        <f>B$195&amp;" "&amp;C110</f>
        <v>Red de aire, ductos, AQUAMAT y montaje 2030</v>
      </c>
      <c r="C110" s="75">
        <f t="shared" ref="C110:C141" si="55">C105+1</f>
        <v>2030</v>
      </c>
      <c r="D110" s="76">
        <f t="shared" ref="D110:N110" si="56">IF(D$63&lt;=$C110,0,IF(D$63&gt;$C110+$P67,0,-$K67/$P67))</f>
        <v>0</v>
      </c>
      <c r="E110" s="76">
        <f t="shared" si="56"/>
        <v>0</v>
      </c>
      <c r="F110" s="76">
        <f t="shared" si="56"/>
        <v>0</v>
      </c>
      <c r="G110" s="76">
        <f t="shared" si="56"/>
        <v>0</v>
      </c>
      <c r="H110" s="76">
        <f t="shared" si="56"/>
        <v>0</v>
      </c>
      <c r="I110" s="76">
        <f t="shared" si="56"/>
        <v>0</v>
      </c>
      <c r="J110" s="76">
        <f t="shared" si="56"/>
        <v>0</v>
      </c>
      <c r="K110" s="76">
        <f t="shared" si="56"/>
        <v>0</v>
      </c>
      <c r="L110" s="76">
        <f t="shared" si="56"/>
        <v>0</v>
      </c>
      <c r="M110" s="76">
        <f t="shared" si="56"/>
        <v>0</v>
      </c>
      <c r="N110" s="76">
        <f t="shared" si="56"/>
        <v>0</v>
      </c>
      <c r="P110" s="71"/>
    </row>
    <row r="111" spans="1:16">
      <c r="A111" s="38"/>
      <c r="B111" s="74" t="str">
        <f>B$196&amp;" "&amp;C111</f>
        <v>Controladores 2030</v>
      </c>
      <c r="C111" s="75">
        <f t="shared" si="55"/>
        <v>2030</v>
      </c>
      <c r="D111" s="76">
        <f t="shared" ref="D111:N111" si="57">IF(D$63&lt;=$C111,0,IF(D$63&gt;$C111+$P68,0,-$K68/$P68))</f>
        <v>0</v>
      </c>
      <c r="E111" s="76">
        <f t="shared" si="57"/>
        <v>0</v>
      </c>
      <c r="F111" s="76">
        <f t="shared" si="57"/>
        <v>0</v>
      </c>
      <c r="G111" s="76">
        <f t="shared" si="57"/>
        <v>0</v>
      </c>
      <c r="H111" s="76">
        <f t="shared" si="57"/>
        <v>0</v>
      </c>
      <c r="I111" s="76">
        <f t="shared" si="57"/>
        <v>0</v>
      </c>
      <c r="J111" s="76">
        <f t="shared" si="57"/>
        <v>0</v>
      </c>
      <c r="K111" s="76">
        <f t="shared" si="57"/>
        <v>0</v>
      </c>
      <c r="L111" s="76">
        <f t="shared" si="57"/>
        <v>0</v>
      </c>
      <c r="M111" s="76">
        <f t="shared" si="57"/>
        <v>0</v>
      </c>
      <c r="N111" s="76">
        <f t="shared" si="57"/>
        <v>0</v>
      </c>
      <c r="P111" s="71"/>
    </row>
    <row r="112" spans="1:16">
      <c r="A112" s="38"/>
      <c r="B112" s="74" t="str">
        <f>B$197&amp;" "&amp;C112</f>
        <v>Equipo de comunicación y cómputo 2030</v>
      </c>
      <c r="C112" s="75">
        <f t="shared" si="55"/>
        <v>2030</v>
      </c>
      <c r="D112" s="76">
        <f t="shared" ref="D112:N112" si="58">IF(D$63&lt;=$C112,0,IF(D$63&gt;$C112+$P69,0,-$K69/$P69))</f>
        <v>0</v>
      </c>
      <c r="E112" s="76">
        <f t="shared" si="58"/>
        <v>0</v>
      </c>
      <c r="F112" s="76">
        <f t="shared" si="58"/>
        <v>0</v>
      </c>
      <c r="G112" s="76">
        <f t="shared" si="58"/>
        <v>0</v>
      </c>
      <c r="H112" s="76">
        <f t="shared" si="58"/>
        <v>0</v>
      </c>
      <c r="I112" s="76">
        <f t="shared" si="58"/>
        <v>0</v>
      </c>
      <c r="J112" s="76">
        <f t="shared" si="58"/>
        <v>0</v>
      </c>
      <c r="K112" s="76">
        <f t="shared" si="58"/>
        <v>0</v>
      </c>
      <c r="L112" s="76">
        <f t="shared" si="58"/>
        <v>0</v>
      </c>
      <c r="M112" s="76">
        <f t="shared" si="58"/>
        <v>0</v>
      </c>
      <c r="N112" s="76">
        <f t="shared" si="58"/>
        <v>0</v>
      </c>
      <c r="P112" s="71"/>
    </row>
    <row r="113" spans="1:16">
      <c r="A113" s="38"/>
      <c r="B113" s="16" t="str">
        <f>B$193&amp;" "&amp;C113</f>
        <v>Compresores, secadores y filtros 2031</v>
      </c>
      <c r="C113" s="72">
        <f t="shared" si="55"/>
        <v>2031</v>
      </c>
      <c r="D113" s="73">
        <f t="shared" ref="D113:N113" si="59">IF(D$63&lt;=$C113,0,IF(D$63&gt;$C113+$P65,0,-$L65/$P65))</f>
        <v>0</v>
      </c>
      <c r="E113" s="73">
        <f t="shared" si="59"/>
        <v>0</v>
      </c>
      <c r="F113" s="73">
        <f t="shared" si="59"/>
        <v>0</v>
      </c>
      <c r="G113" s="73">
        <f t="shared" si="59"/>
        <v>0</v>
      </c>
      <c r="H113" s="73">
        <f t="shared" si="59"/>
        <v>0</v>
      </c>
      <c r="I113" s="73">
        <f t="shared" si="59"/>
        <v>0</v>
      </c>
      <c r="J113" s="73">
        <f t="shared" si="59"/>
        <v>0</v>
      </c>
      <c r="K113" s="73">
        <f t="shared" si="59"/>
        <v>0</v>
      </c>
      <c r="L113" s="73">
        <f t="shared" si="59"/>
        <v>0</v>
      </c>
      <c r="M113" s="73">
        <f t="shared" si="59"/>
        <v>0</v>
      </c>
      <c r="N113" s="73">
        <f t="shared" si="59"/>
        <v>0</v>
      </c>
      <c r="P113" s="71"/>
    </row>
    <row r="114" spans="1:16">
      <c r="A114" s="38"/>
      <c r="B114" s="16" t="str">
        <f>B$194&amp;" "&amp;C114</f>
        <v>Tanque 2031</v>
      </c>
      <c r="C114" s="72">
        <f t="shared" si="55"/>
        <v>2031</v>
      </c>
      <c r="D114" s="73">
        <f t="shared" ref="D114:N114" si="60">IF(D$63&lt;=$C114,0,IF(D$63&gt;$C114+$P66,0,-$L66/$P66))</f>
        <v>0</v>
      </c>
      <c r="E114" s="73">
        <f t="shared" si="60"/>
        <v>0</v>
      </c>
      <c r="F114" s="73">
        <f t="shared" si="60"/>
        <v>0</v>
      </c>
      <c r="G114" s="73">
        <f t="shared" si="60"/>
        <v>0</v>
      </c>
      <c r="H114" s="73">
        <f t="shared" si="60"/>
        <v>0</v>
      </c>
      <c r="I114" s="73">
        <f t="shared" si="60"/>
        <v>0</v>
      </c>
      <c r="J114" s="73">
        <f t="shared" si="60"/>
        <v>0</v>
      </c>
      <c r="K114" s="73">
        <f t="shared" si="60"/>
        <v>0</v>
      </c>
      <c r="L114" s="73">
        <f t="shared" si="60"/>
        <v>0</v>
      </c>
      <c r="M114" s="73">
        <f t="shared" si="60"/>
        <v>0</v>
      </c>
      <c r="N114" s="73">
        <f t="shared" si="60"/>
        <v>0</v>
      </c>
      <c r="P114" s="71"/>
    </row>
    <row r="115" spans="1:16">
      <c r="A115" s="38"/>
      <c r="B115" s="16" t="str">
        <f>B$195&amp;" "&amp;C115</f>
        <v>Red de aire, ductos, AQUAMAT y montaje 2031</v>
      </c>
      <c r="C115" s="72">
        <f t="shared" si="55"/>
        <v>2031</v>
      </c>
      <c r="D115" s="73">
        <f t="shared" ref="D115:N115" si="61">IF(D$63&lt;=$C115,0,IF(D$63&gt;$C115+$P67,0,-$L67/$P67))</f>
        <v>0</v>
      </c>
      <c r="E115" s="73">
        <f t="shared" si="61"/>
        <v>0</v>
      </c>
      <c r="F115" s="73">
        <f t="shared" si="61"/>
        <v>0</v>
      </c>
      <c r="G115" s="73">
        <f t="shared" si="61"/>
        <v>0</v>
      </c>
      <c r="H115" s="73">
        <f t="shared" si="61"/>
        <v>0</v>
      </c>
      <c r="I115" s="73">
        <f t="shared" si="61"/>
        <v>0</v>
      </c>
      <c r="J115" s="73">
        <f t="shared" si="61"/>
        <v>0</v>
      </c>
      <c r="K115" s="73">
        <f t="shared" si="61"/>
        <v>0</v>
      </c>
      <c r="L115" s="73">
        <f t="shared" si="61"/>
        <v>0</v>
      </c>
      <c r="M115" s="73">
        <f t="shared" si="61"/>
        <v>0</v>
      </c>
      <c r="N115" s="73">
        <f t="shared" si="61"/>
        <v>0</v>
      </c>
      <c r="P115" s="71"/>
    </row>
    <row r="116" spans="1:16">
      <c r="A116" s="38"/>
      <c r="B116" s="16" t="str">
        <f>B$196&amp;" "&amp;C116</f>
        <v>Controladores 2031</v>
      </c>
      <c r="C116" s="72">
        <f t="shared" si="55"/>
        <v>2031</v>
      </c>
      <c r="D116" s="73">
        <f t="shared" ref="D116:N116" si="62">IF(D$63&lt;=$C116,0,IF(D$63&gt;$C116+$P68,0,-$L68/$P68))</f>
        <v>0</v>
      </c>
      <c r="E116" s="73">
        <f t="shared" si="62"/>
        <v>0</v>
      </c>
      <c r="F116" s="73">
        <f t="shared" si="62"/>
        <v>0</v>
      </c>
      <c r="G116" s="73">
        <f t="shared" si="62"/>
        <v>0</v>
      </c>
      <c r="H116" s="73">
        <f t="shared" si="62"/>
        <v>0</v>
      </c>
      <c r="I116" s="73">
        <f t="shared" si="62"/>
        <v>0</v>
      </c>
      <c r="J116" s="73">
        <f t="shared" si="62"/>
        <v>0</v>
      </c>
      <c r="K116" s="73">
        <f t="shared" si="62"/>
        <v>0</v>
      </c>
      <c r="L116" s="73">
        <f t="shared" si="62"/>
        <v>0</v>
      </c>
      <c r="M116" s="73">
        <f t="shared" si="62"/>
        <v>0</v>
      </c>
      <c r="N116" s="73">
        <f t="shared" si="62"/>
        <v>0</v>
      </c>
      <c r="P116" s="71"/>
    </row>
    <row r="117" spans="1:16">
      <c r="A117" s="38"/>
      <c r="B117" s="16" t="str">
        <f>B$197&amp;" "&amp;C117</f>
        <v>Equipo de comunicación y cómputo 2031</v>
      </c>
      <c r="C117" s="72">
        <f t="shared" si="55"/>
        <v>2031</v>
      </c>
      <c r="D117" s="73">
        <f t="shared" ref="D117:N117" si="63">IF(D$63&lt;=$C117,0,IF(D$63&gt;$C117+$P69,0,-$L69/$P69))</f>
        <v>0</v>
      </c>
      <c r="E117" s="73">
        <f t="shared" si="63"/>
        <v>0</v>
      </c>
      <c r="F117" s="73">
        <f t="shared" si="63"/>
        <v>0</v>
      </c>
      <c r="G117" s="73">
        <f t="shared" si="63"/>
        <v>0</v>
      </c>
      <c r="H117" s="73">
        <f t="shared" si="63"/>
        <v>0</v>
      </c>
      <c r="I117" s="73">
        <f t="shared" si="63"/>
        <v>0</v>
      </c>
      <c r="J117" s="73">
        <f t="shared" si="63"/>
        <v>0</v>
      </c>
      <c r="K117" s="73">
        <f t="shared" si="63"/>
        <v>0</v>
      </c>
      <c r="L117" s="73">
        <f t="shared" si="63"/>
        <v>0</v>
      </c>
      <c r="M117" s="73">
        <f t="shared" si="63"/>
        <v>0</v>
      </c>
      <c r="N117" s="73">
        <f t="shared" si="63"/>
        <v>0</v>
      </c>
      <c r="P117" s="71"/>
    </row>
    <row r="118" spans="1:16">
      <c r="A118" s="38"/>
      <c r="B118" s="74" t="str">
        <f>B$193&amp;" "&amp;C118</f>
        <v>Compresores, secadores y filtros 2032</v>
      </c>
      <c r="C118" s="75">
        <f t="shared" si="55"/>
        <v>2032</v>
      </c>
      <c r="D118" s="76">
        <f t="shared" ref="D118:N118" si="64">IF(D$63&lt;=$C118,0,IF(D$63&gt;$C118+$P65,0,-$M65/$P65))</f>
        <v>0</v>
      </c>
      <c r="E118" s="76">
        <f t="shared" si="64"/>
        <v>0</v>
      </c>
      <c r="F118" s="76">
        <f t="shared" si="64"/>
        <v>0</v>
      </c>
      <c r="G118" s="76">
        <f t="shared" si="64"/>
        <v>0</v>
      </c>
      <c r="H118" s="76">
        <f t="shared" si="64"/>
        <v>0</v>
      </c>
      <c r="I118" s="76">
        <f t="shared" si="64"/>
        <v>0</v>
      </c>
      <c r="J118" s="76">
        <f t="shared" si="64"/>
        <v>0</v>
      </c>
      <c r="K118" s="76">
        <f t="shared" si="64"/>
        <v>0</v>
      </c>
      <c r="L118" s="76">
        <f t="shared" si="64"/>
        <v>0</v>
      </c>
      <c r="M118" s="76">
        <f t="shared" si="64"/>
        <v>0</v>
      </c>
      <c r="N118" s="76">
        <f t="shared" si="64"/>
        <v>-68246.756531256397</v>
      </c>
      <c r="P118" s="71"/>
    </row>
    <row r="119" spans="1:16">
      <c r="A119" s="38"/>
      <c r="B119" s="74" t="str">
        <f>B$194&amp;" "&amp;C119</f>
        <v>Tanque 2032</v>
      </c>
      <c r="C119" s="75">
        <f t="shared" si="55"/>
        <v>2032</v>
      </c>
      <c r="D119" s="76">
        <f t="shared" ref="D119:N119" si="65">IF(D$63&lt;=$C119,0,IF(D$63&gt;$C119+$P66,0,-$M66/$P66))</f>
        <v>0</v>
      </c>
      <c r="E119" s="76">
        <f t="shared" si="65"/>
        <v>0</v>
      </c>
      <c r="F119" s="76">
        <f t="shared" si="65"/>
        <v>0</v>
      </c>
      <c r="G119" s="76">
        <f t="shared" si="65"/>
        <v>0</v>
      </c>
      <c r="H119" s="76">
        <f t="shared" si="65"/>
        <v>0</v>
      </c>
      <c r="I119" s="76">
        <f t="shared" si="65"/>
        <v>0</v>
      </c>
      <c r="J119" s="76">
        <f t="shared" si="65"/>
        <v>0</v>
      </c>
      <c r="K119" s="76">
        <f t="shared" si="65"/>
        <v>0</v>
      </c>
      <c r="L119" s="76">
        <f t="shared" si="65"/>
        <v>0</v>
      </c>
      <c r="M119" s="76">
        <f t="shared" si="65"/>
        <v>0</v>
      </c>
      <c r="N119" s="76">
        <f t="shared" si="65"/>
        <v>-15480.542570802199</v>
      </c>
      <c r="P119" s="71"/>
    </row>
    <row r="120" spans="1:16">
      <c r="A120" s="38"/>
      <c r="B120" s="74" t="str">
        <f>B$195&amp;" "&amp;C120</f>
        <v>Red de aire, ductos, AQUAMAT y montaje 2032</v>
      </c>
      <c r="C120" s="75">
        <f t="shared" si="55"/>
        <v>2032</v>
      </c>
      <c r="D120" s="76">
        <f t="shared" ref="D120:N120" si="66">IF(D$63&lt;=$C120,0,IF(D$63&gt;$C120+$P67,0,-$M67/$P67))</f>
        <v>0</v>
      </c>
      <c r="E120" s="76">
        <f t="shared" si="66"/>
        <v>0</v>
      </c>
      <c r="F120" s="76">
        <f t="shared" si="66"/>
        <v>0</v>
      </c>
      <c r="G120" s="76">
        <f t="shared" si="66"/>
        <v>0</v>
      </c>
      <c r="H120" s="76">
        <f t="shared" si="66"/>
        <v>0</v>
      </c>
      <c r="I120" s="76">
        <f t="shared" si="66"/>
        <v>0</v>
      </c>
      <c r="J120" s="76">
        <f t="shared" si="66"/>
        <v>0</v>
      </c>
      <c r="K120" s="76">
        <f t="shared" si="66"/>
        <v>0</v>
      </c>
      <c r="L120" s="76">
        <f t="shared" si="66"/>
        <v>0</v>
      </c>
      <c r="M120" s="76">
        <f t="shared" si="66"/>
        <v>0</v>
      </c>
      <c r="N120" s="76">
        <f t="shared" si="66"/>
        <v>0</v>
      </c>
      <c r="P120" s="71"/>
    </row>
    <row r="121" spans="1:16">
      <c r="A121" s="38"/>
      <c r="B121" s="74" t="str">
        <f>B$196&amp;" "&amp;C121</f>
        <v>Controladores 2032</v>
      </c>
      <c r="C121" s="75">
        <f t="shared" si="55"/>
        <v>2032</v>
      </c>
      <c r="D121" s="76">
        <f t="shared" ref="D121:N121" si="67">IF(D$63&lt;=$C121,0,IF(D$63&gt;$C121+$P68,0,-$M68/$P68))</f>
        <v>0</v>
      </c>
      <c r="E121" s="76">
        <f t="shared" si="67"/>
        <v>0</v>
      </c>
      <c r="F121" s="76">
        <f t="shared" si="67"/>
        <v>0</v>
      </c>
      <c r="G121" s="76">
        <f t="shared" si="67"/>
        <v>0</v>
      </c>
      <c r="H121" s="76">
        <f t="shared" si="67"/>
        <v>0</v>
      </c>
      <c r="I121" s="76">
        <f t="shared" si="67"/>
        <v>0</v>
      </c>
      <c r="J121" s="76">
        <f t="shared" si="67"/>
        <v>0</v>
      </c>
      <c r="K121" s="76">
        <f t="shared" si="67"/>
        <v>0</v>
      </c>
      <c r="L121" s="76">
        <f t="shared" si="67"/>
        <v>0</v>
      </c>
      <c r="M121" s="76">
        <f t="shared" si="67"/>
        <v>0</v>
      </c>
      <c r="N121" s="76">
        <f t="shared" si="67"/>
        <v>0</v>
      </c>
      <c r="P121" s="71"/>
    </row>
    <row r="122" spans="1:16">
      <c r="A122" s="38"/>
      <c r="B122" s="74" t="str">
        <f>B$197&amp;" "&amp;C122</f>
        <v>Equipo de comunicación y cómputo 2032</v>
      </c>
      <c r="C122" s="75">
        <f t="shared" si="55"/>
        <v>2032</v>
      </c>
      <c r="D122" s="76">
        <f t="shared" ref="D122:N122" si="68">IF(D$63&lt;=$C122,0,IF(D$63&gt;$C122+$P69,0,-$M69/$P69))</f>
        <v>0</v>
      </c>
      <c r="E122" s="76">
        <f t="shared" si="68"/>
        <v>0</v>
      </c>
      <c r="F122" s="76">
        <f t="shared" si="68"/>
        <v>0</v>
      </c>
      <c r="G122" s="76">
        <f t="shared" si="68"/>
        <v>0</v>
      </c>
      <c r="H122" s="76">
        <f t="shared" si="68"/>
        <v>0</v>
      </c>
      <c r="I122" s="76">
        <f t="shared" si="68"/>
        <v>0</v>
      </c>
      <c r="J122" s="76">
        <f t="shared" si="68"/>
        <v>0</v>
      </c>
      <c r="K122" s="76">
        <f t="shared" si="68"/>
        <v>0</v>
      </c>
      <c r="L122" s="76">
        <f t="shared" si="68"/>
        <v>0</v>
      </c>
      <c r="M122" s="76">
        <f t="shared" si="68"/>
        <v>0</v>
      </c>
      <c r="N122" s="76">
        <f t="shared" si="68"/>
        <v>0</v>
      </c>
      <c r="P122" s="71"/>
    </row>
    <row r="123" spans="1:16">
      <c r="A123" s="38"/>
      <c r="B123" s="16" t="str">
        <f>B$193&amp;" "&amp;C123</f>
        <v>Compresores, secadores y filtros 2033</v>
      </c>
      <c r="C123" s="72">
        <f t="shared" si="55"/>
        <v>2033</v>
      </c>
      <c r="D123" s="73">
        <f t="shared" ref="D123:N123" si="69">IF(D$63&lt;=$C123,0,IF(D$63&gt;$C123+$P65,0,-$N65/$P65))</f>
        <v>0</v>
      </c>
      <c r="E123" s="73">
        <f t="shared" si="69"/>
        <v>0</v>
      </c>
      <c r="F123" s="73">
        <f t="shared" si="69"/>
        <v>0</v>
      </c>
      <c r="G123" s="73">
        <f t="shared" si="69"/>
        <v>0</v>
      </c>
      <c r="H123" s="73">
        <f t="shared" si="69"/>
        <v>0</v>
      </c>
      <c r="I123" s="73">
        <f t="shared" si="69"/>
        <v>0</v>
      </c>
      <c r="J123" s="73">
        <f t="shared" si="69"/>
        <v>0</v>
      </c>
      <c r="K123" s="73">
        <f t="shared" si="69"/>
        <v>0</v>
      </c>
      <c r="L123" s="73">
        <f t="shared" si="69"/>
        <v>0</v>
      </c>
      <c r="M123" s="73">
        <f t="shared" si="69"/>
        <v>0</v>
      </c>
      <c r="N123" s="73">
        <f t="shared" si="69"/>
        <v>0</v>
      </c>
      <c r="P123" s="71"/>
    </row>
    <row r="124" spans="1:16">
      <c r="A124" s="38"/>
      <c r="B124" s="16" t="str">
        <f>B$194&amp;" "&amp;C124</f>
        <v>Tanque 2033</v>
      </c>
      <c r="C124" s="72">
        <f t="shared" si="55"/>
        <v>2033</v>
      </c>
      <c r="D124" s="73">
        <f t="shared" ref="D124:N124" si="70">IF(D$63&lt;=$C124,0,IF(D$63&gt;$C124+$P66,0,-$N66/$P66))</f>
        <v>0</v>
      </c>
      <c r="E124" s="73">
        <f t="shared" si="70"/>
        <v>0</v>
      </c>
      <c r="F124" s="73">
        <f t="shared" si="70"/>
        <v>0</v>
      </c>
      <c r="G124" s="73">
        <f t="shared" si="70"/>
        <v>0</v>
      </c>
      <c r="H124" s="73">
        <f t="shared" si="70"/>
        <v>0</v>
      </c>
      <c r="I124" s="73">
        <f t="shared" si="70"/>
        <v>0</v>
      </c>
      <c r="J124" s="73">
        <f t="shared" si="70"/>
        <v>0</v>
      </c>
      <c r="K124" s="73">
        <f t="shared" si="70"/>
        <v>0</v>
      </c>
      <c r="L124" s="73">
        <f t="shared" si="70"/>
        <v>0</v>
      </c>
      <c r="M124" s="73">
        <f t="shared" si="70"/>
        <v>0</v>
      </c>
      <c r="N124" s="73">
        <f t="shared" si="70"/>
        <v>0</v>
      </c>
      <c r="P124" s="71"/>
    </row>
    <row r="125" spans="1:16">
      <c r="A125" s="38"/>
      <c r="B125" s="16" t="str">
        <f>B$195&amp;" "&amp;C125</f>
        <v>Red de aire, ductos, AQUAMAT y montaje 2033</v>
      </c>
      <c r="C125" s="72">
        <f t="shared" si="55"/>
        <v>2033</v>
      </c>
      <c r="D125" s="73">
        <f t="shared" ref="D125:N125" si="71">IF(D$63&lt;=$C125,0,IF(D$63&gt;$C125+$P67,0,-$N67/$P67))</f>
        <v>0</v>
      </c>
      <c r="E125" s="73">
        <f t="shared" si="71"/>
        <v>0</v>
      </c>
      <c r="F125" s="73">
        <f t="shared" si="71"/>
        <v>0</v>
      </c>
      <c r="G125" s="73">
        <f t="shared" si="71"/>
        <v>0</v>
      </c>
      <c r="H125" s="73">
        <f t="shared" si="71"/>
        <v>0</v>
      </c>
      <c r="I125" s="73">
        <f t="shared" si="71"/>
        <v>0</v>
      </c>
      <c r="J125" s="73">
        <f t="shared" si="71"/>
        <v>0</v>
      </c>
      <c r="K125" s="73">
        <f t="shared" si="71"/>
        <v>0</v>
      </c>
      <c r="L125" s="73">
        <f t="shared" si="71"/>
        <v>0</v>
      </c>
      <c r="M125" s="73">
        <f t="shared" si="71"/>
        <v>0</v>
      </c>
      <c r="N125" s="73">
        <f t="shared" si="71"/>
        <v>0</v>
      </c>
      <c r="P125" s="71"/>
    </row>
    <row r="126" spans="1:16">
      <c r="A126" s="38"/>
      <c r="B126" s="16" t="str">
        <f>B$196&amp;" "&amp;C126</f>
        <v>Controladores 2033</v>
      </c>
      <c r="C126" s="72">
        <f t="shared" si="55"/>
        <v>2033</v>
      </c>
      <c r="D126" s="73">
        <f t="shared" ref="D126:N126" si="72">IF(D$63&lt;=$C126,0,IF(D$63&gt;$C126+$P68,0,-$N68/$P68))</f>
        <v>0</v>
      </c>
      <c r="E126" s="73">
        <f t="shared" si="72"/>
        <v>0</v>
      </c>
      <c r="F126" s="73">
        <f t="shared" si="72"/>
        <v>0</v>
      </c>
      <c r="G126" s="73">
        <f t="shared" si="72"/>
        <v>0</v>
      </c>
      <c r="H126" s="73">
        <f t="shared" si="72"/>
        <v>0</v>
      </c>
      <c r="I126" s="73">
        <f t="shared" si="72"/>
        <v>0</v>
      </c>
      <c r="J126" s="73">
        <f t="shared" si="72"/>
        <v>0</v>
      </c>
      <c r="K126" s="73">
        <f t="shared" si="72"/>
        <v>0</v>
      </c>
      <c r="L126" s="73">
        <f t="shared" si="72"/>
        <v>0</v>
      </c>
      <c r="M126" s="73">
        <f t="shared" si="72"/>
        <v>0</v>
      </c>
      <c r="N126" s="73">
        <f t="shared" si="72"/>
        <v>0</v>
      </c>
      <c r="P126" s="71"/>
    </row>
    <row r="127" spans="1:16">
      <c r="A127" s="38"/>
      <c r="B127" s="16" t="str">
        <f>B$197&amp;" "&amp;C127</f>
        <v>Equipo de comunicación y cómputo 2033</v>
      </c>
      <c r="C127" s="72">
        <f t="shared" si="55"/>
        <v>2033</v>
      </c>
      <c r="D127" s="73">
        <f t="shared" ref="D127:N127" si="73">IF(D$63&lt;=$C127,0,IF(D$63&gt;$C127+$P69,0,-$N69/$P69))</f>
        <v>0</v>
      </c>
      <c r="E127" s="73">
        <f t="shared" si="73"/>
        <v>0</v>
      </c>
      <c r="F127" s="73">
        <f t="shared" si="73"/>
        <v>0</v>
      </c>
      <c r="G127" s="73">
        <f t="shared" si="73"/>
        <v>0</v>
      </c>
      <c r="H127" s="73">
        <f t="shared" si="73"/>
        <v>0</v>
      </c>
      <c r="I127" s="73">
        <f t="shared" si="73"/>
        <v>0</v>
      </c>
      <c r="J127" s="73">
        <f t="shared" si="73"/>
        <v>0</v>
      </c>
      <c r="K127" s="73">
        <f t="shared" si="73"/>
        <v>0</v>
      </c>
      <c r="L127" s="73">
        <f t="shared" si="73"/>
        <v>0</v>
      </c>
      <c r="M127" s="73">
        <f t="shared" si="73"/>
        <v>0</v>
      </c>
      <c r="N127" s="73">
        <f t="shared" si="73"/>
        <v>0</v>
      </c>
      <c r="P127" s="71"/>
    </row>
    <row r="128" spans="1:16">
      <c r="A128" s="38"/>
      <c r="B128" s="52" t="s">
        <v>38</v>
      </c>
      <c r="C128" s="52"/>
      <c r="D128" s="77">
        <f t="shared" ref="D128:N128" si="74">SUM(D73:D127)</f>
        <v>0</v>
      </c>
      <c r="E128" s="77">
        <f t="shared" si="74"/>
        <v>-85446.5019856</v>
      </c>
      <c r="F128" s="77">
        <f t="shared" si="74"/>
        <v>-85446.5019856</v>
      </c>
      <c r="G128" s="77">
        <f t="shared" si="74"/>
        <v>-85446.5019856</v>
      </c>
      <c r="H128" s="77">
        <f t="shared" si="74"/>
        <v>-210467.88802158411</v>
      </c>
      <c r="I128" s="77">
        <f t="shared" si="74"/>
        <v>-210467.88802158411</v>
      </c>
      <c r="J128" s="77">
        <f t="shared" si="74"/>
        <v>-210467.88802158411</v>
      </c>
      <c r="K128" s="77">
        <f t="shared" si="74"/>
        <v>-283089.7436878205</v>
      </c>
      <c r="L128" s="77">
        <f t="shared" si="74"/>
        <v>-283089.7436878205</v>
      </c>
      <c r="M128" s="77">
        <f t="shared" si="74"/>
        <v>-283089.7436878205</v>
      </c>
      <c r="N128" s="77">
        <f t="shared" si="74"/>
        <v>-366817.04278987908</v>
      </c>
      <c r="P128" s="71"/>
    </row>
    <row r="129" spans="1:16">
      <c r="A129" s="38"/>
      <c r="B129" s="62" t="s">
        <v>39</v>
      </c>
      <c r="D129" s="73">
        <f t="shared" ref="D129:N129" si="75">C129+D128</f>
        <v>0</v>
      </c>
      <c r="E129" s="73">
        <f t="shared" si="75"/>
        <v>-85446.5019856</v>
      </c>
      <c r="F129" s="73">
        <f t="shared" si="75"/>
        <v>-170893.0039712</v>
      </c>
      <c r="G129" s="73">
        <f t="shared" si="75"/>
        <v>-256339.50595680001</v>
      </c>
      <c r="H129" s="73">
        <f t="shared" si="75"/>
        <v>-466807.39397838409</v>
      </c>
      <c r="I129" s="73">
        <f t="shared" si="75"/>
        <v>-677275.28199996823</v>
      </c>
      <c r="J129" s="73">
        <f t="shared" si="75"/>
        <v>-887743.17002155236</v>
      </c>
      <c r="K129" s="73">
        <f t="shared" si="75"/>
        <v>-1170832.9137093727</v>
      </c>
      <c r="L129" s="73">
        <f t="shared" si="75"/>
        <v>-1453922.6573971934</v>
      </c>
      <c r="M129" s="73">
        <f t="shared" si="75"/>
        <v>-1737012.401085014</v>
      </c>
      <c r="N129" s="73">
        <f t="shared" si="75"/>
        <v>-2103829.4438748932</v>
      </c>
      <c r="P129" s="71"/>
    </row>
    <row r="130" spans="1:16">
      <c r="A130" s="38"/>
      <c r="B130" s="62" t="s">
        <v>40</v>
      </c>
      <c r="D130" s="73">
        <f t="shared" ref="D130:N130" si="76">C130+D70</f>
        <v>854465.01985600009</v>
      </c>
      <c r="E130" s="73">
        <f t="shared" si="76"/>
        <v>854465.01985600009</v>
      </c>
      <c r="F130" s="73">
        <f t="shared" si="76"/>
        <v>854465.01985600009</v>
      </c>
      <c r="G130" s="73">
        <f t="shared" si="76"/>
        <v>2104678.8802158413</v>
      </c>
      <c r="H130" s="73">
        <f t="shared" si="76"/>
        <v>2104678.8802158413</v>
      </c>
      <c r="I130" s="73">
        <f t="shared" si="76"/>
        <v>2104678.8802158413</v>
      </c>
      <c r="J130" s="73">
        <f t="shared" si="76"/>
        <v>2830897.4368782053</v>
      </c>
      <c r="K130" s="73">
        <f t="shared" si="76"/>
        <v>2830897.4368782053</v>
      </c>
      <c r="L130" s="73">
        <f t="shared" si="76"/>
        <v>2830897.4368782053</v>
      </c>
      <c r="M130" s="73">
        <f t="shared" si="76"/>
        <v>3668170.4278987912</v>
      </c>
      <c r="N130" s="73">
        <f t="shared" si="76"/>
        <v>3668170.4278987912</v>
      </c>
      <c r="P130" s="71"/>
    </row>
    <row r="132" spans="1:16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4" spans="1:16" ht="18.75">
      <c r="B134" s="22" t="s">
        <v>41</v>
      </c>
    </row>
    <row r="135" spans="1:16">
      <c r="D135" s="21">
        <f t="shared" ref="D135:N135" si="77">D$9</f>
        <v>0</v>
      </c>
      <c r="E135" s="21">
        <f t="shared" si="77"/>
        <v>1</v>
      </c>
      <c r="F135" s="21">
        <f t="shared" si="77"/>
        <v>2</v>
      </c>
      <c r="G135" s="21">
        <f t="shared" si="77"/>
        <v>3</v>
      </c>
      <c r="H135" s="21">
        <f t="shared" si="77"/>
        <v>4</v>
      </c>
      <c r="I135" s="21">
        <f t="shared" si="77"/>
        <v>5</v>
      </c>
      <c r="J135" s="21">
        <f t="shared" si="77"/>
        <v>6</v>
      </c>
      <c r="K135" s="21">
        <f t="shared" si="77"/>
        <v>7</v>
      </c>
      <c r="L135" s="21">
        <f t="shared" si="77"/>
        <v>8</v>
      </c>
      <c r="M135" s="21">
        <f t="shared" si="77"/>
        <v>9</v>
      </c>
      <c r="N135" s="21">
        <f t="shared" si="77"/>
        <v>10</v>
      </c>
    </row>
    <row r="136" spans="1:16">
      <c r="D136" s="21">
        <f t="shared" ref="D136:N136" si="78">D$10</f>
        <v>2023</v>
      </c>
      <c r="E136" s="21">
        <f t="shared" si="78"/>
        <v>2024</v>
      </c>
      <c r="F136" s="21">
        <f t="shared" si="78"/>
        <v>2025</v>
      </c>
      <c r="G136" s="21">
        <f t="shared" si="78"/>
        <v>2026</v>
      </c>
      <c r="H136" s="21">
        <f t="shared" si="78"/>
        <v>2027</v>
      </c>
      <c r="I136" s="21">
        <f t="shared" si="78"/>
        <v>2028</v>
      </c>
      <c r="J136" s="21">
        <f t="shared" si="78"/>
        <v>2029</v>
      </c>
      <c r="K136" s="21">
        <f t="shared" si="78"/>
        <v>2030</v>
      </c>
      <c r="L136" s="21">
        <f t="shared" si="78"/>
        <v>2031</v>
      </c>
      <c r="M136" s="21">
        <f t="shared" si="78"/>
        <v>2032</v>
      </c>
      <c r="N136" s="21">
        <f t="shared" si="78"/>
        <v>2033</v>
      </c>
    </row>
    <row r="137" spans="1:16" ht="18.75">
      <c r="B137" s="37" t="s">
        <v>9</v>
      </c>
      <c r="C137" s="37"/>
    </row>
    <row r="139" spans="1:16">
      <c r="A139" s="38">
        <v>1</v>
      </c>
      <c r="B139" s="39" t="s">
        <v>42</v>
      </c>
      <c r="D139" s="54">
        <v>0</v>
      </c>
      <c r="E139" s="55">
        <f>Comercial!$I$34</f>
        <v>1498601.8820380699</v>
      </c>
      <c r="F139" s="55">
        <f>Comercial!$I$34</f>
        <v>1498601.8820380699</v>
      </c>
      <c r="G139" s="55">
        <f>Comercial!$I$34</f>
        <v>1498601.8820380699</v>
      </c>
      <c r="H139" s="55">
        <f>Comercial!$I$34</f>
        <v>1498601.8820380699</v>
      </c>
      <c r="I139" s="55">
        <f>Comercial!$I$34</f>
        <v>1498601.8820380699</v>
      </c>
      <c r="J139" s="55">
        <f>Comercial!$I$34</f>
        <v>1498601.8820380699</v>
      </c>
      <c r="K139" s="55">
        <f>Comercial!$I$34</f>
        <v>1498601.8820380699</v>
      </c>
      <c r="L139" s="55">
        <f>Comercial!$I$34</f>
        <v>1498601.8820380699</v>
      </c>
      <c r="M139" s="55">
        <f>Comercial!$I$34</f>
        <v>1498601.8820380699</v>
      </c>
      <c r="N139" s="55">
        <f>Comercial!$I$34</f>
        <v>1498601.8820380699</v>
      </c>
    </row>
    <row r="140" spans="1:16">
      <c r="A140" s="38">
        <f>A139+1</f>
        <v>2</v>
      </c>
      <c r="B140" s="43" t="s">
        <v>11</v>
      </c>
      <c r="D140" s="57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58">
        <v>0</v>
      </c>
    </row>
    <row r="141" spans="1:16">
      <c r="A141" s="38">
        <f>A140+1</f>
        <v>3</v>
      </c>
      <c r="B141" s="47" t="s">
        <v>12</v>
      </c>
      <c r="D141" s="59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0</v>
      </c>
      <c r="J141" s="60">
        <v>0</v>
      </c>
      <c r="K141" s="60">
        <v>0</v>
      </c>
      <c r="L141" s="60">
        <v>0</v>
      </c>
      <c r="M141" s="60">
        <v>0</v>
      </c>
      <c r="N141" s="61">
        <v>0</v>
      </c>
    </row>
    <row r="142" spans="1:16">
      <c r="A142" s="15" t="s">
        <v>43</v>
      </c>
      <c r="B142" s="51" t="str">
        <f>"Total "&amp;B137</f>
        <v>Total Ingresos</v>
      </c>
      <c r="C142" s="52"/>
      <c r="D142" s="53">
        <f t="shared" ref="D142:N142" si="79">SUM(D139:D141)</f>
        <v>0</v>
      </c>
      <c r="E142" s="53">
        <f t="shared" si="79"/>
        <v>1498601.8820380699</v>
      </c>
      <c r="F142" s="53">
        <f t="shared" si="79"/>
        <v>1498601.8820380699</v>
      </c>
      <c r="G142" s="53">
        <f t="shared" si="79"/>
        <v>1498601.8820380699</v>
      </c>
      <c r="H142" s="53">
        <f t="shared" si="79"/>
        <v>1498601.8820380699</v>
      </c>
      <c r="I142" s="53">
        <f t="shared" si="79"/>
        <v>1498601.8820380699</v>
      </c>
      <c r="J142" s="53">
        <f t="shared" si="79"/>
        <v>1498601.8820380699</v>
      </c>
      <c r="K142" s="53">
        <f t="shared" si="79"/>
        <v>1498601.8820380699</v>
      </c>
      <c r="L142" s="53">
        <f t="shared" si="79"/>
        <v>1498601.8820380699</v>
      </c>
      <c r="M142" s="53">
        <f t="shared" si="79"/>
        <v>1498601.8820380699</v>
      </c>
      <c r="N142" s="53">
        <f t="shared" si="79"/>
        <v>1498601.8820380699</v>
      </c>
    </row>
    <row r="143" spans="1:16">
      <c r="B143" s="62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</row>
    <row r="144" spans="1:16">
      <c r="B144" s="16" t="s">
        <v>44</v>
      </c>
      <c r="C144" s="62"/>
      <c r="D144" s="78">
        <v>60</v>
      </c>
      <c r="E144" s="63"/>
      <c r="F144" s="63"/>
      <c r="G144" s="63"/>
      <c r="H144" s="63"/>
      <c r="I144" s="63"/>
      <c r="J144" s="63"/>
      <c r="K144" s="63"/>
      <c r="L144" s="63"/>
      <c r="M144" s="63"/>
      <c r="N144" s="63"/>
    </row>
    <row r="145" spans="1:14">
      <c r="A145" s="15" t="s">
        <v>45</v>
      </c>
      <c r="B145" s="62" t="s">
        <v>46</v>
      </c>
      <c r="C145" s="62"/>
      <c r="D145" s="63">
        <f t="shared" ref="D145:N145" si="80">D139*$D$144/360</f>
        <v>0</v>
      </c>
      <c r="E145" s="63">
        <f t="shared" si="80"/>
        <v>249766.9803396783</v>
      </c>
      <c r="F145" s="63">
        <f t="shared" si="80"/>
        <v>249766.9803396783</v>
      </c>
      <c r="G145" s="63">
        <f t="shared" si="80"/>
        <v>249766.9803396783</v>
      </c>
      <c r="H145" s="63">
        <f t="shared" si="80"/>
        <v>249766.9803396783</v>
      </c>
      <c r="I145" s="63">
        <f t="shared" si="80"/>
        <v>249766.9803396783</v>
      </c>
      <c r="J145" s="63">
        <f t="shared" si="80"/>
        <v>249766.9803396783</v>
      </c>
      <c r="K145" s="63">
        <f t="shared" si="80"/>
        <v>249766.9803396783</v>
      </c>
      <c r="L145" s="63">
        <f t="shared" si="80"/>
        <v>249766.9803396783</v>
      </c>
      <c r="M145" s="63">
        <f t="shared" si="80"/>
        <v>249766.9803396783</v>
      </c>
      <c r="N145" s="63">
        <f t="shared" si="80"/>
        <v>249766.9803396783</v>
      </c>
    </row>
    <row r="146" spans="1:14">
      <c r="A146" s="15" t="s">
        <v>47</v>
      </c>
      <c r="B146" s="62" t="s">
        <v>48</v>
      </c>
      <c r="C146" s="62"/>
      <c r="D146" s="63">
        <f t="shared" ref="D146:N146" si="81">D139-(D145-C145)</f>
        <v>0</v>
      </c>
      <c r="E146" s="63">
        <f t="shared" si="81"/>
        <v>1248834.9016983917</v>
      </c>
      <c r="F146" s="63">
        <f t="shared" si="81"/>
        <v>1498601.8820380699</v>
      </c>
      <c r="G146" s="63">
        <f t="shared" si="81"/>
        <v>1498601.8820380699</v>
      </c>
      <c r="H146" s="63">
        <f t="shared" si="81"/>
        <v>1498601.8820380699</v>
      </c>
      <c r="I146" s="63">
        <f t="shared" si="81"/>
        <v>1498601.8820380699</v>
      </c>
      <c r="J146" s="63">
        <f t="shared" si="81"/>
        <v>1498601.8820380699</v>
      </c>
      <c r="K146" s="63">
        <f t="shared" si="81"/>
        <v>1498601.8820380699</v>
      </c>
      <c r="L146" s="63">
        <f t="shared" si="81"/>
        <v>1498601.8820380699</v>
      </c>
      <c r="M146" s="63">
        <f t="shared" si="81"/>
        <v>1498601.8820380699</v>
      </c>
      <c r="N146" s="63">
        <f t="shared" si="81"/>
        <v>1498601.8820380699</v>
      </c>
    </row>
    <row r="147" spans="1:14">
      <c r="B147" s="16" t="s">
        <v>49</v>
      </c>
      <c r="C147" s="62"/>
      <c r="D147" s="79">
        <f t="shared" ref="D147:N147" si="82">IFERROR(D146/D139,0)</f>
        <v>0</v>
      </c>
      <c r="E147" s="79">
        <f t="shared" si="82"/>
        <v>0.83333333333333337</v>
      </c>
      <c r="F147" s="79">
        <f t="shared" si="82"/>
        <v>1</v>
      </c>
      <c r="G147" s="79">
        <f t="shared" si="82"/>
        <v>1</v>
      </c>
      <c r="H147" s="79">
        <f t="shared" si="82"/>
        <v>1</v>
      </c>
      <c r="I147" s="79">
        <f t="shared" si="82"/>
        <v>1</v>
      </c>
      <c r="J147" s="79">
        <f t="shared" si="82"/>
        <v>1</v>
      </c>
      <c r="K147" s="79">
        <f t="shared" si="82"/>
        <v>1</v>
      </c>
      <c r="L147" s="79">
        <f t="shared" si="82"/>
        <v>1</v>
      </c>
      <c r="M147" s="79">
        <f t="shared" si="82"/>
        <v>1</v>
      </c>
      <c r="N147" s="79">
        <f t="shared" si="82"/>
        <v>1</v>
      </c>
    </row>
    <row r="149" spans="1:14">
      <c r="D149" s="21">
        <f t="shared" ref="D149:N149" si="83">D$9</f>
        <v>0</v>
      </c>
      <c r="E149" s="21">
        <f t="shared" si="83"/>
        <v>1</v>
      </c>
      <c r="F149" s="21">
        <f t="shared" si="83"/>
        <v>2</v>
      </c>
      <c r="G149" s="21">
        <f t="shared" si="83"/>
        <v>3</v>
      </c>
      <c r="H149" s="21">
        <f t="shared" si="83"/>
        <v>4</v>
      </c>
      <c r="I149" s="21">
        <f t="shared" si="83"/>
        <v>5</v>
      </c>
      <c r="J149" s="21">
        <f t="shared" si="83"/>
        <v>6</v>
      </c>
      <c r="K149" s="21">
        <f t="shared" si="83"/>
        <v>7</v>
      </c>
      <c r="L149" s="21">
        <f t="shared" si="83"/>
        <v>8</v>
      </c>
      <c r="M149" s="21">
        <f t="shared" si="83"/>
        <v>9</v>
      </c>
      <c r="N149" s="21">
        <f t="shared" si="83"/>
        <v>10</v>
      </c>
    </row>
    <row r="150" spans="1:14" ht="18.75">
      <c r="B150" s="37" t="s">
        <v>13</v>
      </c>
      <c r="D150" s="21">
        <f t="shared" ref="D150:N150" si="84">D$10</f>
        <v>2023</v>
      </c>
      <c r="E150" s="21">
        <f t="shared" si="84"/>
        <v>2024</v>
      </c>
      <c r="F150" s="21">
        <f t="shared" si="84"/>
        <v>2025</v>
      </c>
      <c r="G150" s="21">
        <f t="shared" si="84"/>
        <v>2026</v>
      </c>
      <c r="H150" s="21">
        <f t="shared" si="84"/>
        <v>2027</v>
      </c>
      <c r="I150" s="21">
        <f t="shared" si="84"/>
        <v>2028</v>
      </c>
      <c r="J150" s="21">
        <f t="shared" si="84"/>
        <v>2029</v>
      </c>
      <c r="K150" s="21">
        <f t="shared" si="84"/>
        <v>2030</v>
      </c>
      <c r="L150" s="21">
        <f t="shared" si="84"/>
        <v>2031</v>
      </c>
      <c r="M150" s="21">
        <f t="shared" si="84"/>
        <v>2032</v>
      </c>
      <c r="N150" s="21">
        <f t="shared" si="84"/>
        <v>2033</v>
      </c>
    </row>
    <row r="152" spans="1:14">
      <c r="A152" s="38">
        <v>1</v>
      </c>
      <c r="B152" s="39" t="s">
        <v>50</v>
      </c>
      <c r="D152" s="54">
        <f>OPEX!C28</f>
        <v>0</v>
      </c>
      <c r="E152" s="55">
        <f>OPEX!D28</f>
        <v>10579</v>
      </c>
      <c r="F152" s="55">
        <f>OPEX!E28</f>
        <v>11954.269999999999</v>
      </c>
      <c r="G152" s="55">
        <f>OPEX!F28</f>
        <v>12910.6116</v>
      </c>
      <c r="H152" s="55">
        <f>OPEX!G28</f>
        <v>13685.248296000002</v>
      </c>
      <c r="I152" s="55">
        <f>OPEX!H28</f>
        <v>14506.363193760002</v>
      </c>
      <c r="J152" s="55">
        <f>OPEX!I28</f>
        <v>15376.744985385603</v>
      </c>
      <c r="K152" s="55">
        <f>OPEX!J28</f>
        <v>16299.349684508741</v>
      </c>
      <c r="L152" s="55">
        <f>OPEX!K28</f>
        <v>17277.310665579265</v>
      </c>
      <c r="M152" s="55">
        <f>OPEX!L28</f>
        <v>18313.949305514023</v>
      </c>
      <c r="N152" s="56">
        <f>OPEX!M28</f>
        <v>19412.786263844864</v>
      </c>
    </row>
    <row r="153" spans="1:14">
      <c r="A153" s="38">
        <f t="shared" ref="A153:A161" si="85">A152+1</f>
        <v>2</v>
      </c>
      <c r="B153" s="43" t="s">
        <v>51</v>
      </c>
      <c r="D153" s="57">
        <f>OPEX!C29</f>
        <v>0</v>
      </c>
      <c r="E153" s="45">
        <f>OPEX!D29</f>
        <v>331</v>
      </c>
      <c r="F153" s="45">
        <f>OPEX!E29</f>
        <v>354.17</v>
      </c>
      <c r="G153" s="45">
        <f>OPEX!F29</f>
        <v>371.87850000000003</v>
      </c>
      <c r="H153" s="45">
        <f>OPEX!G29</f>
        <v>386.75364000000002</v>
      </c>
      <c r="I153" s="45">
        <f>OPEX!H29</f>
        <v>402.22378560000004</v>
      </c>
      <c r="J153" s="45">
        <f>OPEX!I29</f>
        <v>418.31273702400006</v>
      </c>
      <c r="K153" s="45">
        <f>OPEX!J29</f>
        <v>435.04524650496006</v>
      </c>
      <c r="L153" s="45">
        <f>OPEX!K29</f>
        <v>452.44705636515846</v>
      </c>
      <c r="M153" s="45">
        <f>OPEX!L29</f>
        <v>470.54493861976482</v>
      </c>
      <c r="N153" s="58">
        <f>OPEX!M29</f>
        <v>489.36673616455545</v>
      </c>
    </row>
    <row r="154" spans="1:14">
      <c r="A154" s="38">
        <f t="shared" si="85"/>
        <v>3</v>
      </c>
      <c r="B154" s="43" t="s">
        <v>52</v>
      </c>
      <c r="D154" s="57">
        <f>OPEX!C30</f>
        <v>0</v>
      </c>
      <c r="E154" s="45">
        <f>OPEX!D30</f>
        <v>2189</v>
      </c>
      <c r="F154" s="45">
        <f>OPEX!E30</f>
        <v>2451.6800000000003</v>
      </c>
      <c r="G154" s="45">
        <f>OPEX!F30</f>
        <v>2696.8480000000004</v>
      </c>
      <c r="H154" s="45">
        <f>OPEX!G30</f>
        <v>2939.5643200000009</v>
      </c>
      <c r="I154" s="45">
        <f>OPEX!H30</f>
        <v>3204.1251088000013</v>
      </c>
      <c r="J154" s="45">
        <f>OPEX!I30</f>
        <v>3492.4963685920015</v>
      </c>
      <c r="K154" s="45">
        <f>OPEX!J30</f>
        <v>3806.8210417652822</v>
      </c>
      <c r="L154" s="45">
        <f>OPEX!K30</f>
        <v>4149.4349355241575</v>
      </c>
      <c r="M154" s="45">
        <f>OPEX!L30</f>
        <v>4522.8840797213315</v>
      </c>
      <c r="N154" s="58">
        <f>OPEX!M30</f>
        <v>4929.9436468962522</v>
      </c>
    </row>
    <row r="155" spans="1:14">
      <c r="A155" s="38">
        <f t="shared" si="85"/>
        <v>4</v>
      </c>
      <c r="B155" s="43" t="s">
        <v>53</v>
      </c>
      <c r="D155" s="57">
        <f>OPEX!C31</f>
        <v>0</v>
      </c>
      <c r="E155" s="45">
        <f>OPEX!D31</f>
        <v>1832</v>
      </c>
      <c r="F155" s="45">
        <f>OPEX!E31</f>
        <v>1960.24</v>
      </c>
      <c r="G155" s="45">
        <f>OPEX!F31</f>
        <v>2058.252</v>
      </c>
      <c r="H155" s="45">
        <f>OPEX!G31</f>
        <v>2140.5820800000001</v>
      </c>
      <c r="I155" s="45">
        <f>OPEX!H31</f>
        <v>2226.2053632000002</v>
      </c>
      <c r="J155" s="45">
        <f>OPEX!I31</f>
        <v>2315.2535777280004</v>
      </c>
      <c r="K155" s="45">
        <f>OPEX!J31</f>
        <v>2407.8637208371206</v>
      </c>
      <c r="L155" s="45">
        <f>OPEX!K31</f>
        <v>2504.1782696706055</v>
      </c>
      <c r="M155" s="45">
        <f>OPEX!L31</f>
        <v>2604.3454004574296</v>
      </c>
      <c r="N155" s="58">
        <f>OPEX!M31</f>
        <v>2708.5192164757268</v>
      </c>
    </row>
    <row r="156" spans="1:14">
      <c r="A156" s="38">
        <f t="shared" si="85"/>
        <v>5</v>
      </c>
      <c r="B156" s="43" t="s">
        <v>15</v>
      </c>
      <c r="D156" s="57">
        <f>OPEX!C24</f>
        <v>0</v>
      </c>
      <c r="E156" s="45">
        <f>OPEX!D24</f>
        <v>188314.60671527326</v>
      </c>
      <c r="F156" s="45">
        <f>OPEX!E24</f>
        <v>197758.81336496287</v>
      </c>
      <c r="G156" s="45">
        <f>OPEX!F24</f>
        <v>202953.46021936214</v>
      </c>
      <c r="H156" s="45">
        <f>OPEX!G24</f>
        <v>276440.73992241645</v>
      </c>
      <c r="I156" s="45">
        <f>OPEX!H24</f>
        <v>226178.32526632099</v>
      </c>
      <c r="J156" s="45">
        <f>OPEX!I24</f>
        <v>244238.38452183871</v>
      </c>
      <c r="K156" s="45">
        <f>OPEX!J24</f>
        <v>250144.97583281883</v>
      </c>
      <c r="L156" s="45">
        <f>OPEX!K24</f>
        <v>338129.95576033229</v>
      </c>
      <c r="M156" s="45">
        <f>OPEX!L24</f>
        <v>276651.21695778542</v>
      </c>
      <c r="N156" s="58">
        <f>OPEX!M24</f>
        <v>298741.47412758984</v>
      </c>
    </row>
    <row r="157" spans="1:14">
      <c r="A157" s="38">
        <f t="shared" si="85"/>
        <v>6</v>
      </c>
      <c r="B157" s="43" t="s">
        <v>19</v>
      </c>
      <c r="D157" s="57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58">
        <v>0</v>
      </c>
    </row>
    <row r="158" spans="1:14">
      <c r="A158" s="38">
        <f t="shared" si="85"/>
        <v>7</v>
      </c>
      <c r="B158" s="43" t="s">
        <v>20</v>
      </c>
      <c r="D158" s="57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58">
        <v>0</v>
      </c>
    </row>
    <row r="159" spans="1:14">
      <c r="A159" s="38">
        <f t="shared" si="85"/>
        <v>8</v>
      </c>
      <c r="B159" s="43" t="s">
        <v>21</v>
      </c>
      <c r="D159" s="57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58">
        <v>0</v>
      </c>
    </row>
    <row r="160" spans="1:14">
      <c r="A160" s="38">
        <f t="shared" si="85"/>
        <v>9</v>
      </c>
      <c r="B160" s="43" t="s">
        <v>22</v>
      </c>
      <c r="D160" s="57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58">
        <v>0</v>
      </c>
    </row>
    <row r="161" spans="1:14">
      <c r="A161" s="38">
        <f t="shared" si="85"/>
        <v>10</v>
      </c>
      <c r="B161" s="47" t="s">
        <v>23</v>
      </c>
      <c r="D161" s="59">
        <v>0</v>
      </c>
      <c r="E161" s="60">
        <v>0</v>
      </c>
      <c r="F161" s="60">
        <v>0</v>
      </c>
      <c r="G161" s="60">
        <v>0</v>
      </c>
      <c r="H161" s="60">
        <v>0</v>
      </c>
      <c r="I161" s="60">
        <v>0</v>
      </c>
      <c r="J161" s="60">
        <v>0</v>
      </c>
      <c r="K161" s="60">
        <v>0</v>
      </c>
      <c r="L161" s="60">
        <v>0</v>
      </c>
      <c r="M161" s="60">
        <v>0</v>
      </c>
      <c r="N161" s="61">
        <v>0</v>
      </c>
    </row>
    <row r="162" spans="1:14">
      <c r="A162" s="15" t="s">
        <v>43</v>
      </c>
      <c r="B162" s="51" t="str">
        <f>"Total "&amp;B150</f>
        <v>Total Costo de las Ventas</v>
      </c>
      <c r="C162" s="52"/>
      <c r="D162" s="53">
        <f t="shared" ref="D162:N162" si="86">SUM(D152:D161)</f>
        <v>0</v>
      </c>
      <c r="E162" s="53">
        <f t="shared" si="86"/>
        <v>203245.60671527326</v>
      </c>
      <c r="F162" s="53">
        <f t="shared" si="86"/>
        <v>214479.17336496286</v>
      </c>
      <c r="G162" s="53">
        <f t="shared" si="86"/>
        <v>220991.05031936214</v>
      </c>
      <c r="H162" s="53">
        <f t="shared" si="86"/>
        <v>295592.88825841644</v>
      </c>
      <c r="I162" s="53">
        <f t="shared" si="86"/>
        <v>246517.24271768099</v>
      </c>
      <c r="J162" s="53">
        <f t="shared" si="86"/>
        <v>265841.19219056831</v>
      </c>
      <c r="K162" s="53">
        <f t="shared" si="86"/>
        <v>273094.05552643491</v>
      </c>
      <c r="L162" s="53">
        <f t="shared" si="86"/>
        <v>362513.32668747148</v>
      </c>
      <c r="M162" s="53">
        <f t="shared" si="86"/>
        <v>302562.94068209798</v>
      </c>
      <c r="N162" s="53">
        <f t="shared" si="86"/>
        <v>326282.08999097126</v>
      </c>
    </row>
    <row r="163" spans="1:14">
      <c r="B163" s="62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</row>
    <row r="164" spans="1:14">
      <c r="B164" s="16" t="s">
        <v>54</v>
      </c>
      <c r="C164" s="62"/>
      <c r="D164" s="80">
        <v>60</v>
      </c>
      <c r="E164" s="63"/>
      <c r="F164" s="63"/>
      <c r="G164" s="63"/>
      <c r="H164" s="63"/>
      <c r="I164" s="63"/>
      <c r="J164" s="63"/>
      <c r="K164" s="63"/>
      <c r="L164" s="63"/>
      <c r="M164" s="63"/>
      <c r="N164" s="63"/>
    </row>
    <row r="165" spans="1:14">
      <c r="B165" s="16" t="s">
        <v>55</v>
      </c>
      <c r="C165" s="62"/>
      <c r="D165" s="80">
        <v>0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</row>
    <row r="166" spans="1:14">
      <c r="A166" s="15" t="s">
        <v>45</v>
      </c>
      <c r="B166" s="62" t="s">
        <v>56</v>
      </c>
      <c r="C166" s="62"/>
      <c r="D166" s="63">
        <f t="shared" ref="D166:N166" si="87">D162*$D$165/360</f>
        <v>0</v>
      </c>
      <c r="E166" s="63">
        <f t="shared" si="87"/>
        <v>0</v>
      </c>
      <c r="F166" s="63">
        <f t="shared" si="87"/>
        <v>0</v>
      </c>
      <c r="G166" s="63">
        <f t="shared" si="87"/>
        <v>0</v>
      </c>
      <c r="H166" s="63">
        <f t="shared" si="87"/>
        <v>0</v>
      </c>
      <c r="I166" s="63">
        <f t="shared" si="87"/>
        <v>0</v>
      </c>
      <c r="J166" s="63">
        <f t="shared" si="87"/>
        <v>0</v>
      </c>
      <c r="K166" s="63">
        <f t="shared" si="87"/>
        <v>0</v>
      </c>
      <c r="L166" s="63">
        <f t="shared" si="87"/>
        <v>0</v>
      </c>
      <c r="M166" s="63">
        <f t="shared" si="87"/>
        <v>0</v>
      </c>
      <c r="N166" s="63">
        <f t="shared" si="87"/>
        <v>0</v>
      </c>
    </row>
    <row r="167" spans="1:14">
      <c r="B167" s="16" t="s">
        <v>57</v>
      </c>
      <c r="C167" s="62"/>
      <c r="D167" s="63">
        <f t="shared" ref="D167:N167" si="88">D162+(D166-C166)</f>
        <v>0</v>
      </c>
      <c r="E167" s="63">
        <f t="shared" si="88"/>
        <v>203245.60671527326</v>
      </c>
      <c r="F167" s="63">
        <f t="shared" si="88"/>
        <v>214479.17336496286</v>
      </c>
      <c r="G167" s="63">
        <f t="shared" si="88"/>
        <v>220991.05031936214</v>
      </c>
      <c r="H167" s="63">
        <f t="shared" si="88"/>
        <v>295592.88825841644</v>
      </c>
      <c r="I167" s="63">
        <f t="shared" si="88"/>
        <v>246517.24271768099</v>
      </c>
      <c r="J167" s="63">
        <f t="shared" si="88"/>
        <v>265841.19219056831</v>
      </c>
      <c r="K167" s="63">
        <f t="shared" si="88"/>
        <v>273094.05552643491</v>
      </c>
      <c r="L167" s="63">
        <f t="shared" si="88"/>
        <v>362513.32668747148</v>
      </c>
      <c r="M167" s="63">
        <f t="shared" si="88"/>
        <v>302562.94068209798</v>
      </c>
      <c r="N167" s="63">
        <f t="shared" si="88"/>
        <v>326282.08999097126</v>
      </c>
    </row>
    <row r="168" spans="1:14">
      <c r="A168" s="15" t="s">
        <v>45</v>
      </c>
      <c r="B168" s="62" t="s">
        <v>58</v>
      </c>
      <c r="C168" s="62"/>
      <c r="D168" s="63">
        <f t="shared" ref="D168:N168" si="89">(D167-D152)*$D$164/360</f>
        <v>0</v>
      </c>
      <c r="E168" s="63">
        <f t="shared" si="89"/>
        <v>32111.10111921221</v>
      </c>
      <c r="F168" s="63">
        <f t="shared" si="89"/>
        <v>33754.150560827147</v>
      </c>
      <c r="G168" s="63">
        <f t="shared" si="89"/>
        <v>34680.073119893692</v>
      </c>
      <c r="H168" s="63">
        <f t="shared" si="89"/>
        <v>46984.606660402744</v>
      </c>
      <c r="I168" s="63">
        <f t="shared" si="89"/>
        <v>38668.479920653495</v>
      </c>
      <c r="J168" s="63">
        <f t="shared" si="89"/>
        <v>41744.07453419712</v>
      </c>
      <c r="K168" s="63">
        <f t="shared" si="89"/>
        <v>42799.117640321027</v>
      </c>
      <c r="L168" s="63">
        <f t="shared" si="89"/>
        <v>57539.336003648699</v>
      </c>
      <c r="M168" s="63">
        <f t="shared" si="89"/>
        <v>47374.831896097319</v>
      </c>
      <c r="N168" s="63">
        <f t="shared" si="89"/>
        <v>51144.883954521065</v>
      </c>
    </row>
    <row r="169" spans="1:14">
      <c r="B169" s="62" t="s">
        <v>59</v>
      </c>
      <c r="C169" s="62"/>
      <c r="D169" s="63">
        <f t="shared" ref="D169:N169" si="90">D152*$D$184/360</f>
        <v>0</v>
      </c>
      <c r="E169" s="63">
        <f t="shared" si="90"/>
        <v>440.79166666666669</v>
      </c>
      <c r="F169" s="63">
        <f t="shared" si="90"/>
        <v>498.09458333333328</v>
      </c>
      <c r="G169" s="63">
        <f t="shared" si="90"/>
        <v>537.94214999999997</v>
      </c>
      <c r="H169" s="63">
        <f t="shared" si="90"/>
        <v>570.21867900000007</v>
      </c>
      <c r="I169" s="63">
        <f t="shared" si="90"/>
        <v>604.43179974000009</v>
      </c>
      <c r="J169" s="63">
        <f t="shared" si="90"/>
        <v>640.69770772440017</v>
      </c>
      <c r="K169" s="63">
        <f t="shared" si="90"/>
        <v>679.13957018786414</v>
      </c>
      <c r="L169" s="63">
        <f t="shared" si="90"/>
        <v>719.88794439913602</v>
      </c>
      <c r="M169" s="63">
        <f t="shared" si="90"/>
        <v>763.08122106308417</v>
      </c>
      <c r="N169" s="63">
        <f t="shared" si="90"/>
        <v>808.8660943268693</v>
      </c>
    </row>
    <row r="170" spans="1:14">
      <c r="A170" s="15" t="s">
        <v>47</v>
      </c>
      <c r="B170" s="62" t="s">
        <v>60</v>
      </c>
      <c r="C170" s="62"/>
      <c r="D170" s="63">
        <f t="shared" ref="D170:N170" si="91">D167-(SUM(D168:D169)-SUM(C168:C169))</f>
        <v>0</v>
      </c>
      <c r="E170" s="63">
        <f t="shared" si="91"/>
        <v>170693.71392939438</v>
      </c>
      <c r="F170" s="63">
        <f t="shared" si="91"/>
        <v>212778.82100668125</v>
      </c>
      <c r="G170" s="63">
        <f t="shared" si="91"/>
        <v>220025.28019362892</v>
      </c>
      <c r="H170" s="63">
        <f t="shared" si="91"/>
        <v>283256.07818890741</v>
      </c>
      <c r="I170" s="63">
        <f t="shared" si="91"/>
        <v>254799.15633669024</v>
      </c>
      <c r="J170" s="63">
        <f t="shared" si="91"/>
        <v>262729.33166904026</v>
      </c>
      <c r="K170" s="63">
        <f t="shared" si="91"/>
        <v>272000.57055784756</v>
      </c>
      <c r="L170" s="63">
        <f t="shared" si="91"/>
        <v>347732.35994993255</v>
      </c>
      <c r="M170" s="63">
        <f t="shared" si="91"/>
        <v>312684.25151298544</v>
      </c>
      <c r="N170" s="63">
        <f t="shared" si="91"/>
        <v>322466.25305928371</v>
      </c>
    </row>
    <row r="171" spans="1:14">
      <c r="B171" s="16" t="s">
        <v>61</v>
      </c>
      <c r="D171" s="79">
        <f t="shared" ref="D171:N171" si="92">IFERROR(D170/D167,0)</f>
        <v>0</v>
      </c>
      <c r="E171" s="79">
        <f t="shared" si="92"/>
        <v>0.839839624029459</v>
      </c>
      <c r="F171" s="79">
        <f t="shared" si="92"/>
        <v>0.99207217963588357</v>
      </c>
      <c r="G171" s="79">
        <f t="shared" si="92"/>
        <v>0.99562982245508336</v>
      </c>
      <c r="H171" s="79">
        <f t="shared" si="92"/>
        <v>0.95826418510203193</v>
      </c>
      <c r="I171" s="79">
        <f t="shared" si="92"/>
        <v>1.0335956768285532</v>
      </c>
      <c r="J171" s="79">
        <f t="shared" si="92"/>
        <v>0.98829428766894289</v>
      </c>
      <c r="K171" s="79">
        <f t="shared" si="92"/>
        <v>0.99599594005633163</v>
      </c>
      <c r="L171" s="79">
        <f t="shared" si="92"/>
        <v>0.95922641831514832</v>
      </c>
      <c r="M171" s="79">
        <f t="shared" si="92"/>
        <v>1.0334519184936197</v>
      </c>
      <c r="N171" s="79">
        <f t="shared" si="92"/>
        <v>0.98830509841409575</v>
      </c>
    </row>
    <row r="173" spans="1:14">
      <c r="D173" s="21">
        <f t="shared" ref="D173:N173" si="93">D$9</f>
        <v>0</v>
      </c>
      <c r="E173" s="21">
        <f t="shared" si="93"/>
        <v>1</v>
      </c>
      <c r="F173" s="21">
        <f t="shared" si="93"/>
        <v>2</v>
      </c>
      <c r="G173" s="21">
        <f t="shared" si="93"/>
        <v>3</v>
      </c>
      <c r="H173" s="21">
        <f t="shared" si="93"/>
        <v>4</v>
      </c>
      <c r="I173" s="21">
        <f t="shared" si="93"/>
        <v>5</v>
      </c>
      <c r="J173" s="21">
        <f t="shared" si="93"/>
        <v>6</v>
      </c>
      <c r="K173" s="21">
        <f t="shared" si="93"/>
        <v>7</v>
      </c>
      <c r="L173" s="21">
        <f t="shared" si="93"/>
        <v>8</v>
      </c>
      <c r="M173" s="21">
        <f t="shared" si="93"/>
        <v>9</v>
      </c>
      <c r="N173" s="21">
        <f t="shared" si="93"/>
        <v>10</v>
      </c>
    </row>
    <row r="174" spans="1:14" ht="18.75">
      <c r="B174" s="37" t="s">
        <v>24</v>
      </c>
      <c r="C174" s="37"/>
      <c r="D174" s="21">
        <f t="shared" ref="D174:N174" si="94">D$10</f>
        <v>2023</v>
      </c>
      <c r="E174" s="21">
        <f t="shared" si="94"/>
        <v>2024</v>
      </c>
      <c r="F174" s="21">
        <f t="shared" si="94"/>
        <v>2025</v>
      </c>
      <c r="G174" s="21">
        <f t="shared" si="94"/>
        <v>2026</v>
      </c>
      <c r="H174" s="21">
        <f t="shared" si="94"/>
        <v>2027</v>
      </c>
      <c r="I174" s="21">
        <f t="shared" si="94"/>
        <v>2028</v>
      </c>
      <c r="J174" s="21">
        <f t="shared" si="94"/>
        <v>2029</v>
      </c>
      <c r="K174" s="21">
        <f t="shared" si="94"/>
        <v>2030</v>
      </c>
      <c r="L174" s="21">
        <f t="shared" si="94"/>
        <v>2031</v>
      </c>
      <c r="M174" s="21">
        <f t="shared" si="94"/>
        <v>2032</v>
      </c>
      <c r="N174" s="21">
        <f t="shared" si="94"/>
        <v>2033</v>
      </c>
    </row>
    <row r="176" spans="1:14">
      <c r="A176" s="38">
        <v>1</v>
      </c>
      <c r="B176" s="39" t="s">
        <v>25</v>
      </c>
      <c r="D176" s="54">
        <f>OPEX!C33</f>
        <v>0</v>
      </c>
      <c r="E176" s="55">
        <f>OPEX!D33</f>
        <v>16927</v>
      </c>
      <c r="F176" s="55">
        <f>OPEX!E33</f>
        <v>19127.509999999998</v>
      </c>
      <c r="G176" s="55">
        <f>OPEX!F33</f>
        <v>20657.710800000001</v>
      </c>
      <c r="H176" s="55">
        <f>OPEX!G33</f>
        <v>21897.173448000001</v>
      </c>
      <c r="I176" s="55">
        <f>OPEX!H33</f>
        <v>23211.003854880004</v>
      </c>
      <c r="J176" s="55">
        <f>OPEX!I33</f>
        <v>24603.664086172805</v>
      </c>
      <c r="K176" s="55">
        <f>OPEX!J33</f>
        <v>26079.883931343174</v>
      </c>
      <c r="L176" s="55">
        <f>OPEX!K33</f>
        <v>27644.676967223768</v>
      </c>
      <c r="M176" s="55">
        <f>OPEX!L33</f>
        <v>29303.357585257196</v>
      </c>
      <c r="N176" s="56">
        <f>OPEX!M33</f>
        <v>31061.559040372627</v>
      </c>
    </row>
    <row r="177" spans="1:16">
      <c r="A177" s="38">
        <f>A176+1</f>
        <v>2</v>
      </c>
      <c r="B177" s="43" t="s">
        <v>26</v>
      </c>
      <c r="D177" s="57">
        <f>OPEX!C34</f>
        <v>41409.504948296009</v>
      </c>
      <c r="E177" s="45">
        <f>OPEX!D34</f>
        <v>37262.475282373074</v>
      </c>
      <c r="F177" s="45">
        <f>OPEX!E34</f>
        <v>33115.445616450139</v>
      </c>
      <c r="G177" s="45">
        <f>OPEX!F34</f>
        <v>28995.462045954293</v>
      </c>
      <c r="H177" s="45">
        <f>OPEX!G34</f>
        <v>24848.101545022331</v>
      </c>
      <c r="I177" s="45">
        <f>OPEX!H34</f>
        <v>20700.741044090366</v>
      </c>
      <c r="J177" s="45">
        <f>OPEX!I34</f>
        <v>16585.07837084082</v>
      </c>
      <c r="K177" s="45">
        <f>OPEX!J34</f>
        <v>12436.167292490416</v>
      </c>
      <c r="L177" s="45">
        <f>OPEX!K34</f>
        <v>8287.2562141400103</v>
      </c>
      <c r="M177" s="45">
        <f>OPEX!L34</f>
        <v>4175.2123821315636</v>
      </c>
      <c r="N177" s="58">
        <f>OPEX!M34</f>
        <v>24.578164227977396</v>
      </c>
    </row>
    <row r="178" spans="1:16">
      <c r="A178" s="38">
        <f>A177+1</f>
        <v>3</v>
      </c>
      <c r="B178" s="43" t="s">
        <v>27</v>
      </c>
      <c r="D178" s="57">
        <f>OPEX!C35</f>
        <v>0</v>
      </c>
      <c r="E178" s="45">
        <f>OPEX!D35</f>
        <v>2457</v>
      </c>
      <c r="F178" s="45">
        <f>OPEX!E35</f>
        <v>2628.9900000000002</v>
      </c>
      <c r="G178" s="45">
        <f>OPEX!F35</f>
        <v>2760.4395000000004</v>
      </c>
      <c r="H178" s="45">
        <f>OPEX!G35</f>
        <v>2870.8570800000007</v>
      </c>
      <c r="I178" s="45">
        <f>OPEX!H35</f>
        <v>2985.691363200001</v>
      </c>
      <c r="J178" s="45">
        <f>OPEX!I35</f>
        <v>3105.1190177280009</v>
      </c>
      <c r="K178" s="45">
        <f>OPEX!J35</f>
        <v>3229.3237784371213</v>
      </c>
      <c r="L178" s="45">
        <f>OPEX!K35</f>
        <v>3358.4967295746064</v>
      </c>
      <c r="M178" s="45">
        <f>OPEX!L35</f>
        <v>3492.8365987575908</v>
      </c>
      <c r="N178" s="58">
        <f>OPEX!M35</f>
        <v>3632.5500627078945</v>
      </c>
    </row>
    <row r="179" spans="1:16">
      <c r="A179" s="38">
        <f>A178+1</f>
        <v>4</v>
      </c>
      <c r="B179" s="43" t="s">
        <v>28</v>
      </c>
      <c r="D179" s="57">
        <f>OPEX!C36</f>
        <v>0</v>
      </c>
      <c r="E179" s="45">
        <f>OPEX!D36</f>
        <v>536</v>
      </c>
      <c r="F179" s="45">
        <f>OPEX!E36</f>
        <v>573.52</v>
      </c>
      <c r="G179" s="45">
        <f>OPEX!F36</f>
        <v>602.19600000000003</v>
      </c>
      <c r="H179" s="45">
        <f>OPEX!G36</f>
        <v>626.28384000000005</v>
      </c>
      <c r="I179" s="45">
        <f>OPEX!H36</f>
        <v>651.33519360000003</v>
      </c>
      <c r="J179" s="45">
        <f>OPEX!I36</f>
        <v>677.38860134399999</v>
      </c>
      <c r="K179" s="45">
        <f>OPEX!J36</f>
        <v>704.48414539776002</v>
      </c>
      <c r="L179" s="45">
        <f>OPEX!K36</f>
        <v>732.6635112136704</v>
      </c>
      <c r="M179" s="45">
        <f>OPEX!L36</f>
        <v>761.9700516622172</v>
      </c>
      <c r="N179" s="58">
        <f>OPEX!M36</f>
        <v>792.4488537287059</v>
      </c>
    </row>
    <row r="180" spans="1:16">
      <c r="A180" s="38">
        <f>A179+1</f>
        <v>5</v>
      </c>
      <c r="B180" s="47" t="s">
        <v>29</v>
      </c>
      <c r="D180" s="59">
        <f>OPEX!C37</f>
        <v>0</v>
      </c>
      <c r="E180" s="60">
        <f>OPEX!D37</f>
        <v>214</v>
      </c>
      <c r="F180" s="60">
        <f>OPEX!E37</f>
        <v>228.98000000000002</v>
      </c>
      <c r="G180" s="60">
        <f>OPEX!F37</f>
        <v>240.42900000000003</v>
      </c>
      <c r="H180" s="60">
        <f>OPEX!G37</f>
        <v>250.04616000000004</v>
      </c>
      <c r="I180" s="60">
        <f>OPEX!H37</f>
        <v>260.04800640000008</v>
      </c>
      <c r="J180" s="60">
        <f>OPEX!I37</f>
        <v>270.44992665600012</v>
      </c>
      <c r="K180" s="60">
        <f>OPEX!J37</f>
        <v>281.26792372224014</v>
      </c>
      <c r="L180" s="60">
        <f>OPEX!K37</f>
        <v>292.51864067112973</v>
      </c>
      <c r="M180" s="60">
        <f>OPEX!L37</f>
        <v>304.21938629797495</v>
      </c>
      <c r="N180" s="61">
        <f>OPEX!M37</f>
        <v>316.38816174989398</v>
      </c>
    </row>
    <row r="181" spans="1:16">
      <c r="A181" s="38" t="s">
        <v>43</v>
      </c>
      <c r="B181" s="51" t="str">
        <f>"Total "&amp;B174</f>
        <v>Total Gastos de Administración y Ventas</v>
      </c>
      <c r="C181" s="52"/>
      <c r="D181" s="53">
        <f t="shared" ref="D181:N181" si="95">SUM(D176:D180)</f>
        <v>41409.504948296009</v>
      </c>
      <c r="E181" s="53">
        <f t="shared" si="95"/>
        <v>57396.475282373074</v>
      </c>
      <c r="F181" s="53">
        <f t="shared" si="95"/>
        <v>55674.445616450139</v>
      </c>
      <c r="G181" s="53">
        <f t="shared" si="95"/>
        <v>53256.237345954294</v>
      </c>
      <c r="H181" s="53">
        <f t="shared" si="95"/>
        <v>50492.46207302234</v>
      </c>
      <c r="I181" s="53">
        <f t="shared" si="95"/>
        <v>47808.819462170373</v>
      </c>
      <c r="J181" s="53">
        <f t="shared" si="95"/>
        <v>45241.700002741622</v>
      </c>
      <c r="K181" s="53">
        <f t="shared" si="95"/>
        <v>42731.127071390714</v>
      </c>
      <c r="L181" s="53">
        <f t="shared" si="95"/>
        <v>40315.612062823187</v>
      </c>
      <c r="M181" s="53">
        <f t="shared" si="95"/>
        <v>38037.596004106541</v>
      </c>
      <c r="N181" s="53">
        <f t="shared" si="95"/>
        <v>35827.524282787097</v>
      </c>
    </row>
    <row r="182" spans="1:16">
      <c r="A182" s="38"/>
      <c r="B182" s="62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</row>
    <row r="183" spans="1:16">
      <c r="A183" s="38"/>
      <c r="B183" s="16" t="s">
        <v>62</v>
      </c>
      <c r="C183" s="62"/>
      <c r="D183" s="78">
        <v>30</v>
      </c>
      <c r="E183" s="63"/>
      <c r="F183" s="63"/>
      <c r="G183" s="63"/>
      <c r="H183" s="63"/>
      <c r="I183" s="63"/>
      <c r="J183" s="63"/>
      <c r="K183" s="63"/>
      <c r="L183" s="63"/>
      <c r="M183" s="63"/>
      <c r="N183" s="63"/>
    </row>
    <row r="184" spans="1:16">
      <c r="A184" s="38"/>
      <c r="B184" s="16" t="s">
        <v>63</v>
      </c>
      <c r="C184" s="62"/>
      <c r="D184" s="78">
        <v>15</v>
      </c>
      <c r="E184" s="63"/>
      <c r="F184" s="63"/>
      <c r="G184" s="63"/>
      <c r="H184" s="63"/>
      <c r="I184" s="63"/>
      <c r="J184" s="63"/>
      <c r="K184" s="63"/>
      <c r="L184" s="63"/>
      <c r="M184" s="63"/>
      <c r="N184" s="63"/>
    </row>
    <row r="185" spans="1:16">
      <c r="A185" s="38" t="s">
        <v>45</v>
      </c>
      <c r="B185" s="62" t="s">
        <v>64</v>
      </c>
      <c r="C185" s="62"/>
      <c r="D185" s="63">
        <f t="shared" ref="D185:N185" si="96">IF(D173=0,0,(D181-D176)*$D$183/360)</f>
        <v>0</v>
      </c>
      <c r="E185" s="63">
        <f t="shared" si="96"/>
        <v>3372.4562735310897</v>
      </c>
      <c r="F185" s="63">
        <f t="shared" si="96"/>
        <v>3045.5779680375113</v>
      </c>
      <c r="G185" s="63">
        <f t="shared" si="96"/>
        <v>2716.5438788295246</v>
      </c>
      <c r="H185" s="63">
        <f t="shared" si="96"/>
        <v>2382.9407187518614</v>
      </c>
      <c r="I185" s="63">
        <f t="shared" si="96"/>
        <v>2049.8179672741976</v>
      </c>
      <c r="J185" s="63">
        <f t="shared" si="96"/>
        <v>1719.8363263807346</v>
      </c>
      <c r="K185" s="63">
        <f t="shared" si="96"/>
        <v>1387.6035950039618</v>
      </c>
      <c r="L185" s="63">
        <f t="shared" si="96"/>
        <v>1055.9112579666182</v>
      </c>
      <c r="M185" s="63">
        <f t="shared" si="96"/>
        <v>727.85320157077877</v>
      </c>
      <c r="N185" s="63">
        <f t="shared" si="96"/>
        <v>397.16377020120581</v>
      </c>
    </row>
    <row r="186" spans="1:16">
      <c r="A186" s="38" t="s">
        <v>45</v>
      </c>
      <c r="B186" s="62" t="s">
        <v>65</v>
      </c>
      <c r="C186" s="62"/>
      <c r="D186" s="63">
        <f t="shared" ref="D186:N186" si="97">D176*$D$184/360</f>
        <v>0</v>
      </c>
      <c r="E186" s="63">
        <f t="shared" si="97"/>
        <v>705.29166666666663</v>
      </c>
      <c r="F186" s="63">
        <f t="shared" si="97"/>
        <v>796.97958333333327</v>
      </c>
      <c r="G186" s="63">
        <f t="shared" si="97"/>
        <v>860.73795000000007</v>
      </c>
      <c r="H186" s="63">
        <f t="shared" si="97"/>
        <v>912.38222700000006</v>
      </c>
      <c r="I186" s="63">
        <f t="shared" si="97"/>
        <v>967.1251606200002</v>
      </c>
      <c r="J186" s="63">
        <f t="shared" si="97"/>
        <v>1025.1526702572</v>
      </c>
      <c r="K186" s="63">
        <f t="shared" si="97"/>
        <v>1086.6618304726323</v>
      </c>
      <c r="L186" s="63">
        <f t="shared" si="97"/>
        <v>1151.8615403009903</v>
      </c>
      <c r="M186" s="63">
        <f t="shared" si="97"/>
        <v>1220.9732327190497</v>
      </c>
      <c r="N186" s="63">
        <f t="shared" si="97"/>
        <v>1294.2316266821929</v>
      </c>
    </row>
    <row r="187" spans="1:16">
      <c r="A187" s="38" t="s">
        <v>47</v>
      </c>
      <c r="B187" s="62" t="s">
        <v>66</v>
      </c>
      <c r="C187" s="62"/>
      <c r="D187" s="63">
        <f t="shared" ref="D187:N187" si="98">D181-(SUM(D185:D186)-SUM(C185:C186))</f>
        <v>41409.504948296009</v>
      </c>
      <c r="E187" s="63">
        <f t="shared" si="98"/>
        <v>53318.72734217532</v>
      </c>
      <c r="F187" s="63">
        <f t="shared" si="98"/>
        <v>55909.636005277047</v>
      </c>
      <c r="G187" s="63">
        <f t="shared" si="98"/>
        <v>53521.513068495617</v>
      </c>
      <c r="H187" s="63">
        <f t="shared" si="98"/>
        <v>50774.420956100003</v>
      </c>
      <c r="I187" s="63">
        <f t="shared" si="98"/>
        <v>48087.199280028035</v>
      </c>
      <c r="J187" s="63">
        <f t="shared" si="98"/>
        <v>45513.654133997887</v>
      </c>
      <c r="K187" s="63">
        <f t="shared" si="98"/>
        <v>43001.850642552054</v>
      </c>
      <c r="L187" s="63">
        <f t="shared" si="98"/>
        <v>40582.104690032174</v>
      </c>
      <c r="M187" s="63">
        <f t="shared" si="98"/>
        <v>38296.542368084323</v>
      </c>
      <c r="N187" s="63">
        <f t="shared" si="98"/>
        <v>36084.955320193527</v>
      </c>
    </row>
    <row r="188" spans="1:16">
      <c r="A188" s="38"/>
      <c r="B188" s="16" t="s">
        <v>67</v>
      </c>
      <c r="C188" s="62"/>
      <c r="D188" s="79">
        <f t="shared" ref="D188:N188" si="99">IFERROR(D187/D181,0)</f>
        <v>1</v>
      </c>
      <c r="E188" s="79">
        <f t="shared" si="99"/>
        <v>0.92895473249643845</v>
      </c>
      <c r="F188" s="79">
        <f t="shared" si="99"/>
        <v>1.0042243867221807</v>
      </c>
      <c r="G188" s="79">
        <f t="shared" si="99"/>
        <v>1.0049811202548555</v>
      </c>
      <c r="H188" s="79">
        <f t="shared" si="99"/>
        <v>1.0055841777465693</v>
      </c>
      <c r="I188" s="79">
        <f t="shared" si="99"/>
        <v>1.0058227712164685</v>
      </c>
      <c r="J188" s="79">
        <f t="shared" si="99"/>
        <v>1.0060111386450947</v>
      </c>
      <c r="K188" s="79">
        <f t="shared" si="99"/>
        <v>1.0063355120661583</v>
      </c>
      <c r="L188" s="79">
        <f t="shared" si="99"/>
        <v>1.0066101595281183</v>
      </c>
      <c r="M188" s="79">
        <f t="shared" si="99"/>
        <v>1.0068076427319388</v>
      </c>
      <c r="N188" s="79">
        <f t="shared" si="99"/>
        <v>1.0071852868028091</v>
      </c>
    </row>
    <row r="190" spans="1:16">
      <c r="D190" s="21">
        <f t="shared" ref="D190:N190" si="100">D$9</f>
        <v>0</v>
      </c>
      <c r="E190" s="21">
        <f t="shared" si="100"/>
        <v>1</v>
      </c>
      <c r="F190" s="21">
        <f t="shared" si="100"/>
        <v>2</v>
      </c>
      <c r="G190" s="21">
        <f t="shared" si="100"/>
        <v>3</v>
      </c>
      <c r="H190" s="21">
        <f t="shared" si="100"/>
        <v>4</v>
      </c>
      <c r="I190" s="21">
        <f t="shared" si="100"/>
        <v>5</v>
      </c>
      <c r="J190" s="21">
        <f t="shared" si="100"/>
        <v>6</v>
      </c>
      <c r="K190" s="21">
        <f t="shared" si="100"/>
        <v>7</v>
      </c>
      <c r="L190" s="21">
        <f t="shared" si="100"/>
        <v>8</v>
      </c>
      <c r="M190" s="21">
        <f t="shared" si="100"/>
        <v>9</v>
      </c>
      <c r="N190" s="21">
        <f t="shared" si="100"/>
        <v>10</v>
      </c>
    </row>
    <row r="191" spans="1:16" ht="18.75">
      <c r="B191" s="37" t="s">
        <v>30</v>
      </c>
      <c r="D191" s="21">
        <f t="shared" ref="D191:N191" si="101">D$10</f>
        <v>2023</v>
      </c>
      <c r="E191" s="21">
        <f t="shared" si="101"/>
        <v>2024</v>
      </c>
      <c r="F191" s="21">
        <f t="shared" si="101"/>
        <v>2025</v>
      </c>
      <c r="G191" s="21">
        <f t="shared" si="101"/>
        <v>2026</v>
      </c>
      <c r="H191" s="21">
        <f t="shared" si="101"/>
        <v>2027</v>
      </c>
      <c r="I191" s="21">
        <f t="shared" si="101"/>
        <v>2028</v>
      </c>
      <c r="J191" s="21">
        <f t="shared" si="101"/>
        <v>2029</v>
      </c>
      <c r="K191" s="21">
        <f t="shared" si="101"/>
        <v>2030</v>
      </c>
      <c r="L191" s="21">
        <f t="shared" si="101"/>
        <v>2031</v>
      </c>
      <c r="M191" s="21">
        <f t="shared" si="101"/>
        <v>2032</v>
      </c>
      <c r="N191" s="21">
        <f t="shared" si="101"/>
        <v>2033</v>
      </c>
      <c r="P191" s="37" t="s">
        <v>31</v>
      </c>
    </row>
    <row r="193" spans="1:16">
      <c r="A193" s="38">
        <v>1</v>
      </c>
      <c r="B193" s="39" t="s">
        <v>68</v>
      </c>
      <c r="D193" s="54">
        <f>'Costo de Equipos'!H6</f>
        <v>3679168.3377624005</v>
      </c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6">
        <v>0</v>
      </c>
      <c r="P193" s="67">
        <v>10</v>
      </c>
    </row>
    <row r="194" spans="1:16">
      <c r="A194" s="38">
        <f>A193+1</f>
        <v>2</v>
      </c>
      <c r="B194" s="43" t="s">
        <v>69</v>
      </c>
      <c r="D194" s="57">
        <f>'Costo de Equipos'!H9</f>
        <v>141816.16940400001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58">
        <v>0</v>
      </c>
      <c r="P194" s="68">
        <v>10</v>
      </c>
    </row>
    <row r="195" spans="1:16">
      <c r="A195" s="38">
        <f>A194+1</f>
        <v>3</v>
      </c>
      <c r="B195" s="43" t="s">
        <v>70</v>
      </c>
      <c r="D195" s="57">
        <f>'Costo de Equipos'!H7</f>
        <v>273503.11807600001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58">
        <v>0</v>
      </c>
      <c r="P195" s="68">
        <v>10</v>
      </c>
    </row>
    <row r="196" spans="1:16">
      <c r="A196" s="38">
        <f>A195+1</f>
        <v>4</v>
      </c>
      <c r="B196" s="43" t="s">
        <v>71</v>
      </c>
      <c r="D196" s="57">
        <f>'Costo de Equipos'!H8</f>
        <v>43857.510547199992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58">
        <v>0</v>
      </c>
      <c r="P196" s="68">
        <v>10</v>
      </c>
    </row>
    <row r="197" spans="1:16">
      <c r="A197" s="38">
        <f>A196+1</f>
        <v>5</v>
      </c>
      <c r="B197" s="47" t="s">
        <v>72</v>
      </c>
      <c r="D197" s="59">
        <f>'Costo de Equipos'!D12</f>
        <v>2605.3590399999998</v>
      </c>
      <c r="E197" s="60">
        <f>'Costo de Equipos'!E12</f>
        <v>0</v>
      </c>
      <c r="F197" s="60">
        <f>'Costo de Equipos'!F12</f>
        <v>0</v>
      </c>
      <c r="G197" s="60">
        <f>'Costo de Equipos'!G12</f>
        <v>2704.6095427086843</v>
      </c>
      <c r="H197" s="60">
        <f>'Costo de Equipos'!H12</f>
        <v>0</v>
      </c>
      <c r="I197" s="60">
        <f>'Costo de Equipos'!I12</f>
        <v>0</v>
      </c>
      <c r="J197" s="60">
        <f>'Costo de Equipos'!J12</f>
        <v>3169.7827682415877</v>
      </c>
      <c r="K197" s="60">
        <f>'Costo de Equipos'!K12</f>
        <v>0</v>
      </c>
      <c r="L197" s="60">
        <f>'Costo de Equipos'!L12</f>
        <v>0</v>
      </c>
      <c r="M197" s="60">
        <f>'Costo de Equipos'!M12</f>
        <v>3686.7246341957857</v>
      </c>
      <c r="N197" s="61">
        <f>'Costo de Equipos'!N12</f>
        <v>0</v>
      </c>
      <c r="P197" s="69">
        <v>3</v>
      </c>
    </row>
    <row r="198" spans="1:16">
      <c r="B198" s="51" t="str">
        <f>"Total "&amp;B191</f>
        <v>Total Inversiones</v>
      </c>
      <c r="C198" s="52"/>
      <c r="D198" s="53">
        <f t="shared" ref="D198:N198" si="102">SUM(D193:D197)</f>
        <v>4140950.4948296007</v>
      </c>
      <c r="E198" s="53">
        <f t="shared" si="102"/>
        <v>0</v>
      </c>
      <c r="F198" s="53">
        <f t="shared" si="102"/>
        <v>0</v>
      </c>
      <c r="G198" s="53">
        <f t="shared" si="102"/>
        <v>2704.6095427086843</v>
      </c>
      <c r="H198" s="53">
        <f t="shared" si="102"/>
        <v>0</v>
      </c>
      <c r="I198" s="53">
        <f t="shared" si="102"/>
        <v>0</v>
      </c>
      <c r="J198" s="53">
        <f t="shared" si="102"/>
        <v>3169.7827682415877</v>
      </c>
      <c r="K198" s="53">
        <f t="shared" si="102"/>
        <v>0</v>
      </c>
      <c r="L198" s="53">
        <f t="shared" si="102"/>
        <v>0</v>
      </c>
      <c r="M198" s="53">
        <f t="shared" si="102"/>
        <v>3686.7246341957857</v>
      </c>
      <c r="N198" s="53">
        <f t="shared" si="102"/>
        <v>0</v>
      </c>
    </row>
    <row r="200" spans="1:16" ht="18.75">
      <c r="B200" s="37" t="s">
        <v>37</v>
      </c>
      <c r="C200" s="37"/>
      <c r="D200" s="21">
        <f t="shared" ref="D200:N200" si="103">D$10</f>
        <v>2023</v>
      </c>
      <c r="E200" s="21">
        <f t="shared" si="103"/>
        <v>2024</v>
      </c>
      <c r="F200" s="21">
        <f t="shared" si="103"/>
        <v>2025</v>
      </c>
      <c r="G200" s="21">
        <f t="shared" si="103"/>
        <v>2026</v>
      </c>
      <c r="H200" s="21">
        <f t="shared" si="103"/>
        <v>2027</v>
      </c>
      <c r="I200" s="21">
        <f t="shared" si="103"/>
        <v>2028</v>
      </c>
      <c r="J200" s="21">
        <f t="shared" si="103"/>
        <v>2029</v>
      </c>
      <c r="K200" s="21">
        <f t="shared" si="103"/>
        <v>2030</v>
      </c>
      <c r="L200" s="21">
        <f t="shared" si="103"/>
        <v>2031</v>
      </c>
      <c r="M200" s="21">
        <f t="shared" si="103"/>
        <v>2032</v>
      </c>
      <c r="N200" s="21">
        <f t="shared" si="103"/>
        <v>2033</v>
      </c>
    </row>
    <row r="201" spans="1:16">
      <c r="B201" s="16" t="str">
        <f>B$193&amp;" "&amp;C201</f>
        <v>Compresores, secadores y filtros 2023</v>
      </c>
      <c r="C201" s="72">
        <f>D191</f>
        <v>2023</v>
      </c>
      <c r="D201" s="73">
        <f t="shared" ref="D201:N201" si="104">IF(D$191&lt;=$C201,0,IF(D$191&gt;$C201+$P193,0,-$D193/$P193))</f>
        <v>0</v>
      </c>
      <c r="E201" s="73">
        <f t="shared" si="104"/>
        <v>-367916.83377624006</v>
      </c>
      <c r="F201" s="73">
        <f t="shared" si="104"/>
        <v>-367916.83377624006</v>
      </c>
      <c r="G201" s="73">
        <f t="shared" si="104"/>
        <v>-367916.83377624006</v>
      </c>
      <c r="H201" s="73">
        <f t="shared" si="104"/>
        <v>-367916.83377624006</v>
      </c>
      <c r="I201" s="73">
        <f t="shared" si="104"/>
        <v>-367916.83377624006</v>
      </c>
      <c r="J201" s="73">
        <f t="shared" si="104"/>
        <v>-367916.83377624006</v>
      </c>
      <c r="K201" s="73">
        <f t="shared" si="104"/>
        <v>-367916.83377624006</v>
      </c>
      <c r="L201" s="73">
        <f t="shared" si="104"/>
        <v>-367916.83377624006</v>
      </c>
      <c r="M201" s="73">
        <f t="shared" si="104"/>
        <v>-367916.83377624006</v>
      </c>
      <c r="N201" s="73">
        <f t="shared" si="104"/>
        <v>-367916.83377624006</v>
      </c>
    </row>
    <row r="202" spans="1:16">
      <c r="B202" s="16" t="str">
        <f>B$194&amp;" "&amp;C202</f>
        <v>Tanque 2023</v>
      </c>
      <c r="C202" s="72">
        <f>C201</f>
        <v>2023</v>
      </c>
      <c r="D202" s="73">
        <f t="shared" ref="D202:N202" si="105">IF(D$191&lt;=$C202,0,IF(D$191&gt;$C202+$P194,0,-$D194/$P194))</f>
        <v>0</v>
      </c>
      <c r="E202" s="73">
        <f t="shared" si="105"/>
        <v>-14181.616940400001</v>
      </c>
      <c r="F202" s="73">
        <f t="shared" si="105"/>
        <v>-14181.616940400001</v>
      </c>
      <c r="G202" s="73">
        <f t="shared" si="105"/>
        <v>-14181.616940400001</v>
      </c>
      <c r="H202" s="73">
        <f t="shared" si="105"/>
        <v>-14181.616940400001</v>
      </c>
      <c r="I202" s="73">
        <f t="shared" si="105"/>
        <v>-14181.616940400001</v>
      </c>
      <c r="J202" s="73">
        <f t="shared" si="105"/>
        <v>-14181.616940400001</v>
      </c>
      <c r="K202" s="73">
        <f t="shared" si="105"/>
        <v>-14181.616940400001</v>
      </c>
      <c r="L202" s="73">
        <f t="shared" si="105"/>
        <v>-14181.616940400001</v>
      </c>
      <c r="M202" s="73">
        <f t="shared" si="105"/>
        <v>-14181.616940400001</v>
      </c>
      <c r="N202" s="73">
        <f t="shared" si="105"/>
        <v>-14181.616940400001</v>
      </c>
    </row>
    <row r="203" spans="1:16">
      <c r="B203" s="16" t="str">
        <f>B$195&amp;" "&amp;C203</f>
        <v>Red de aire, ductos, AQUAMAT y montaje 2023</v>
      </c>
      <c r="C203" s="72">
        <f>C202</f>
        <v>2023</v>
      </c>
      <c r="D203" s="73">
        <f t="shared" ref="D203:N203" si="106">IF(D$191&lt;=$C203,0,IF(D$191&gt;$C203+$P195,0,-$D195/$P195))</f>
        <v>0</v>
      </c>
      <c r="E203" s="73">
        <f t="shared" si="106"/>
        <v>-27350.311807600003</v>
      </c>
      <c r="F203" s="73">
        <f t="shared" si="106"/>
        <v>-27350.311807600003</v>
      </c>
      <c r="G203" s="73">
        <f t="shared" si="106"/>
        <v>-27350.311807600003</v>
      </c>
      <c r="H203" s="73">
        <f t="shared" si="106"/>
        <v>-27350.311807600003</v>
      </c>
      <c r="I203" s="73">
        <f t="shared" si="106"/>
        <v>-27350.311807600003</v>
      </c>
      <c r="J203" s="73">
        <f t="shared" si="106"/>
        <v>-27350.311807600003</v>
      </c>
      <c r="K203" s="73">
        <f t="shared" si="106"/>
        <v>-27350.311807600003</v>
      </c>
      <c r="L203" s="73">
        <f t="shared" si="106"/>
        <v>-27350.311807600003</v>
      </c>
      <c r="M203" s="73">
        <f t="shared" si="106"/>
        <v>-27350.311807600003</v>
      </c>
      <c r="N203" s="73">
        <f t="shared" si="106"/>
        <v>-27350.311807600003</v>
      </c>
    </row>
    <row r="204" spans="1:16">
      <c r="B204" s="16" t="str">
        <f>B$196&amp;" "&amp;C204</f>
        <v>Controladores 2023</v>
      </c>
      <c r="C204" s="72">
        <f>C203</f>
        <v>2023</v>
      </c>
      <c r="D204" s="73">
        <f t="shared" ref="D204:N204" si="107">IF(D$191&lt;=$C204,0,IF(D$191&gt;$C204+$P196,0,-$D196/$P196))</f>
        <v>0</v>
      </c>
      <c r="E204" s="73">
        <f t="shared" si="107"/>
        <v>-4385.751054719999</v>
      </c>
      <c r="F204" s="73">
        <f t="shared" si="107"/>
        <v>-4385.751054719999</v>
      </c>
      <c r="G204" s="73">
        <f t="shared" si="107"/>
        <v>-4385.751054719999</v>
      </c>
      <c r="H204" s="73">
        <f t="shared" si="107"/>
        <v>-4385.751054719999</v>
      </c>
      <c r="I204" s="73">
        <f t="shared" si="107"/>
        <v>-4385.751054719999</v>
      </c>
      <c r="J204" s="73">
        <f t="shared" si="107"/>
        <v>-4385.751054719999</v>
      </c>
      <c r="K204" s="73">
        <f t="shared" si="107"/>
        <v>-4385.751054719999</v>
      </c>
      <c r="L204" s="73">
        <f t="shared" si="107"/>
        <v>-4385.751054719999</v>
      </c>
      <c r="M204" s="73">
        <f t="shared" si="107"/>
        <v>-4385.751054719999</v>
      </c>
      <c r="N204" s="73">
        <f t="shared" si="107"/>
        <v>-4385.751054719999</v>
      </c>
    </row>
    <row r="205" spans="1:16">
      <c r="B205" s="16" t="str">
        <f>B$197&amp;" "&amp;C205</f>
        <v>Equipo de comunicación y cómputo 2023</v>
      </c>
      <c r="C205" s="72">
        <f>C204</f>
        <v>2023</v>
      </c>
      <c r="D205" s="73">
        <f t="shared" ref="D205:N205" si="108">IF(D$191&lt;=$C205,0,IF(D$191&gt;$C205+$P197,0,-$D197/$P197))</f>
        <v>0</v>
      </c>
      <c r="E205" s="73">
        <f t="shared" si="108"/>
        <v>-868.45301333333327</v>
      </c>
      <c r="F205" s="73">
        <f t="shared" si="108"/>
        <v>-868.45301333333327</v>
      </c>
      <c r="G205" s="73">
        <f t="shared" si="108"/>
        <v>-868.45301333333327</v>
      </c>
      <c r="H205" s="73">
        <f t="shared" si="108"/>
        <v>0</v>
      </c>
      <c r="I205" s="73">
        <f t="shared" si="108"/>
        <v>0</v>
      </c>
      <c r="J205" s="73">
        <f t="shared" si="108"/>
        <v>0</v>
      </c>
      <c r="K205" s="73">
        <f t="shared" si="108"/>
        <v>0</v>
      </c>
      <c r="L205" s="73">
        <f t="shared" si="108"/>
        <v>0</v>
      </c>
      <c r="M205" s="73">
        <f t="shared" si="108"/>
        <v>0</v>
      </c>
      <c r="N205" s="73">
        <f t="shared" si="108"/>
        <v>0</v>
      </c>
    </row>
    <row r="206" spans="1:16">
      <c r="B206" s="74" t="str">
        <f>B$193&amp;" "&amp;C206</f>
        <v>Compresores, secadores y filtros 2024</v>
      </c>
      <c r="C206" s="75">
        <f t="shared" ref="C206:C237" si="109">C201+1</f>
        <v>2024</v>
      </c>
      <c r="D206" s="76">
        <f t="shared" ref="D206:N206" si="110">IF(D$191&lt;=$C206,0,IF(D$191&gt;$C206+$P193,0,-$E193/$P193))</f>
        <v>0</v>
      </c>
      <c r="E206" s="76">
        <f t="shared" si="110"/>
        <v>0</v>
      </c>
      <c r="F206" s="76">
        <f t="shared" si="110"/>
        <v>0</v>
      </c>
      <c r="G206" s="76">
        <f t="shared" si="110"/>
        <v>0</v>
      </c>
      <c r="H206" s="76">
        <f t="shared" si="110"/>
        <v>0</v>
      </c>
      <c r="I206" s="76">
        <f t="shared" si="110"/>
        <v>0</v>
      </c>
      <c r="J206" s="76">
        <f t="shared" si="110"/>
        <v>0</v>
      </c>
      <c r="K206" s="76">
        <f t="shared" si="110"/>
        <v>0</v>
      </c>
      <c r="L206" s="76">
        <f t="shared" si="110"/>
        <v>0</v>
      </c>
      <c r="M206" s="76">
        <f t="shared" si="110"/>
        <v>0</v>
      </c>
      <c r="N206" s="76">
        <f t="shared" si="110"/>
        <v>0</v>
      </c>
    </row>
    <row r="207" spans="1:16">
      <c r="B207" s="74" t="str">
        <f>B$194&amp;" "&amp;C207</f>
        <v>Tanque 2024</v>
      </c>
      <c r="C207" s="75">
        <f t="shared" si="109"/>
        <v>2024</v>
      </c>
      <c r="D207" s="76">
        <f t="shared" ref="D207:N207" si="111">IF(D$191&lt;=$C207,0,IF(D$191&gt;$C207+$P194,0,-$E194/$P194))</f>
        <v>0</v>
      </c>
      <c r="E207" s="76">
        <f t="shared" si="111"/>
        <v>0</v>
      </c>
      <c r="F207" s="76">
        <f t="shared" si="111"/>
        <v>0</v>
      </c>
      <c r="G207" s="76">
        <f t="shared" si="111"/>
        <v>0</v>
      </c>
      <c r="H207" s="76">
        <f t="shared" si="111"/>
        <v>0</v>
      </c>
      <c r="I207" s="76">
        <f t="shared" si="111"/>
        <v>0</v>
      </c>
      <c r="J207" s="76">
        <f t="shared" si="111"/>
        <v>0</v>
      </c>
      <c r="K207" s="76">
        <f t="shared" si="111"/>
        <v>0</v>
      </c>
      <c r="L207" s="76">
        <f t="shared" si="111"/>
        <v>0</v>
      </c>
      <c r="M207" s="76">
        <f t="shared" si="111"/>
        <v>0</v>
      </c>
      <c r="N207" s="76">
        <f t="shared" si="111"/>
        <v>0</v>
      </c>
    </row>
    <row r="208" spans="1:16">
      <c r="B208" s="74" t="str">
        <f>B$195&amp;" "&amp;C208</f>
        <v>Red de aire, ductos, AQUAMAT y montaje 2024</v>
      </c>
      <c r="C208" s="75">
        <f t="shared" si="109"/>
        <v>2024</v>
      </c>
      <c r="D208" s="76">
        <f t="shared" ref="D208:N208" si="112">IF(D$191&lt;=$C208,0,IF(D$191&gt;$C208+$P195,0,-$E195/$P195))</f>
        <v>0</v>
      </c>
      <c r="E208" s="76">
        <f t="shared" si="112"/>
        <v>0</v>
      </c>
      <c r="F208" s="76">
        <f t="shared" si="112"/>
        <v>0</v>
      </c>
      <c r="G208" s="76">
        <f t="shared" si="112"/>
        <v>0</v>
      </c>
      <c r="H208" s="76">
        <f t="shared" si="112"/>
        <v>0</v>
      </c>
      <c r="I208" s="76">
        <f t="shared" si="112"/>
        <v>0</v>
      </c>
      <c r="J208" s="76">
        <f t="shared" si="112"/>
        <v>0</v>
      </c>
      <c r="K208" s="76">
        <f t="shared" si="112"/>
        <v>0</v>
      </c>
      <c r="L208" s="76">
        <f t="shared" si="112"/>
        <v>0</v>
      </c>
      <c r="M208" s="76">
        <f t="shared" si="112"/>
        <v>0</v>
      </c>
      <c r="N208" s="76">
        <f t="shared" si="112"/>
        <v>0</v>
      </c>
    </row>
    <row r="209" spans="2:14">
      <c r="B209" s="74" t="str">
        <f>B$196&amp;" "&amp;C209</f>
        <v>Controladores 2024</v>
      </c>
      <c r="C209" s="75">
        <f t="shared" si="109"/>
        <v>2024</v>
      </c>
      <c r="D209" s="76">
        <f t="shared" ref="D209:N209" si="113">IF(D$191&lt;=$C209,0,IF(D$191&gt;$C209+$P196,0,-$E196/$P196))</f>
        <v>0</v>
      </c>
      <c r="E209" s="76">
        <f t="shared" si="113"/>
        <v>0</v>
      </c>
      <c r="F209" s="76">
        <f t="shared" si="113"/>
        <v>0</v>
      </c>
      <c r="G209" s="76">
        <f t="shared" si="113"/>
        <v>0</v>
      </c>
      <c r="H209" s="76">
        <f t="shared" si="113"/>
        <v>0</v>
      </c>
      <c r="I209" s="76">
        <f t="shared" si="113"/>
        <v>0</v>
      </c>
      <c r="J209" s="76">
        <f t="shared" si="113"/>
        <v>0</v>
      </c>
      <c r="K209" s="76">
        <f t="shared" si="113"/>
        <v>0</v>
      </c>
      <c r="L209" s="76">
        <f t="shared" si="113"/>
        <v>0</v>
      </c>
      <c r="M209" s="76">
        <f t="shared" si="113"/>
        <v>0</v>
      </c>
      <c r="N209" s="76">
        <f t="shared" si="113"/>
        <v>0</v>
      </c>
    </row>
    <row r="210" spans="2:14">
      <c r="B210" s="74" t="str">
        <f>B$197&amp;" "&amp;C210</f>
        <v>Equipo de comunicación y cómputo 2024</v>
      </c>
      <c r="C210" s="75">
        <f t="shared" si="109"/>
        <v>2024</v>
      </c>
      <c r="D210" s="76">
        <f t="shared" ref="D210:N210" si="114">IF(D$191&lt;=$C210,0,IF(D$191&gt;$C210+$P197,0,-$E197/$P197))</f>
        <v>0</v>
      </c>
      <c r="E210" s="76">
        <f t="shared" si="114"/>
        <v>0</v>
      </c>
      <c r="F210" s="76">
        <f t="shared" si="114"/>
        <v>0</v>
      </c>
      <c r="G210" s="76">
        <f t="shared" si="114"/>
        <v>0</v>
      </c>
      <c r="H210" s="76">
        <f t="shared" si="114"/>
        <v>0</v>
      </c>
      <c r="I210" s="76">
        <f t="shared" si="114"/>
        <v>0</v>
      </c>
      <c r="J210" s="76">
        <f t="shared" si="114"/>
        <v>0</v>
      </c>
      <c r="K210" s="76">
        <f t="shared" si="114"/>
        <v>0</v>
      </c>
      <c r="L210" s="76">
        <f t="shared" si="114"/>
        <v>0</v>
      </c>
      <c r="M210" s="76">
        <f t="shared" si="114"/>
        <v>0</v>
      </c>
      <c r="N210" s="76">
        <f t="shared" si="114"/>
        <v>0</v>
      </c>
    </row>
    <row r="211" spans="2:14">
      <c r="B211" s="16" t="str">
        <f>B$193&amp;" "&amp;C211</f>
        <v>Compresores, secadores y filtros 2025</v>
      </c>
      <c r="C211" s="72">
        <f t="shared" si="109"/>
        <v>2025</v>
      </c>
      <c r="D211" s="73">
        <f t="shared" ref="D211:N211" si="115">IF(D$191&lt;=$C211,0,IF(D$191&gt;$C211+$P193,0,-$F193/$P193))</f>
        <v>0</v>
      </c>
      <c r="E211" s="73">
        <f t="shared" si="115"/>
        <v>0</v>
      </c>
      <c r="F211" s="73">
        <f t="shared" si="115"/>
        <v>0</v>
      </c>
      <c r="G211" s="73">
        <f t="shared" si="115"/>
        <v>0</v>
      </c>
      <c r="H211" s="73">
        <f t="shared" si="115"/>
        <v>0</v>
      </c>
      <c r="I211" s="73">
        <f t="shared" si="115"/>
        <v>0</v>
      </c>
      <c r="J211" s="73">
        <f t="shared" si="115"/>
        <v>0</v>
      </c>
      <c r="K211" s="73">
        <f t="shared" si="115"/>
        <v>0</v>
      </c>
      <c r="L211" s="73">
        <f t="shared" si="115"/>
        <v>0</v>
      </c>
      <c r="M211" s="73">
        <f t="shared" si="115"/>
        <v>0</v>
      </c>
      <c r="N211" s="73">
        <f t="shared" si="115"/>
        <v>0</v>
      </c>
    </row>
    <row r="212" spans="2:14">
      <c r="B212" s="16" t="str">
        <f>B$194&amp;" "&amp;C212</f>
        <v>Tanque 2025</v>
      </c>
      <c r="C212" s="72">
        <f t="shared" si="109"/>
        <v>2025</v>
      </c>
      <c r="D212" s="73">
        <f t="shared" ref="D212:N212" si="116">IF(D$191&lt;=$C212,0,IF(D$191&gt;$C212+$P194,0,-$F194/$P194))</f>
        <v>0</v>
      </c>
      <c r="E212" s="73">
        <f t="shared" si="116"/>
        <v>0</v>
      </c>
      <c r="F212" s="73">
        <f t="shared" si="116"/>
        <v>0</v>
      </c>
      <c r="G212" s="73">
        <f t="shared" si="116"/>
        <v>0</v>
      </c>
      <c r="H212" s="73">
        <f t="shared" si="116"/>
        <v>0</v>
      </c>
      <c r="I212" s="73">
        <f t="shared" si="116"/>
        <v>0</v>
      </c>
      <c r="J212" s="73">
        <f t="shared" si="116"/>
        <v>0</v>
      </c>
      <c r="K212" s="73">
        <f t="shared" si="116"/>
        <v>0</v>
      </c>
      <c r="L212" s="73">
        <f t="shared" si="116"/>
        <v>0</v>
      </c>
      <c r="M212" s="73">
        <f t="shared" si="116"/>
        <v>0</v>
      </c>
      <c r="N212" s="73">
        <f t="shared" si="116"/>
        <v>0</v>
      </c>
    </row>
    <row r="213" spans="2:14">
      <c r="B213" s="16" t="str">
        <f>B$195&amp;" "&amp;C213</f>
        <v>Red de aire, ductos, AQUAMAT y montaje 2025</v>
      </c>
      <c r="C213" s="72">
        <f t="shared" si="109"/>
        <v>2025</v>
      </c>
      <c r="D213" s="73">
        <f t="shared" ref="D213:N213" si="117">IF(D$191&lt;=$C213,0,IF(D$191&gt;$C213+$P195,0,-$F195/$P195))</f>
        <v>0</v>
      </c>
      <c r="E213" s="73">
        <f t="shared" si="117"/>
        <v>0</v>
      </c>
      <c r="F213" s="73">
        <f t="shared" si="117"/>
        <v>0</v>
      </c>
      <c r="G213" s="73">
        <f t="shared" si="117"/>
        <v>0</v>
      </c>
      <c r="H213" s="73">
        <f t="shared" si="117"/>
        <v>0</v>
      </c>
      <c r="I213" s="73">
        <f t="shared" si="117"/>
        <v>0</v>
      </c>
      <c r="J213" s="73">
        <f t="shared" si="117"/>
        <v>0</v>
      </c>
      <c r="K213" s="73">
        <f t="shared" si="117"/>
        <v>0</v>
      </c>
      <c r="L213" s="73">
        <f t="shared" si="117"/>
        <v>0</v>
      </c>
      <c r="M213" s="73">
        <f t="shared" si="117"/>
        <v>0</v>
      </c>
      <c r="N213" s="73">
        <f t="shared" si="117"/>
        <v>0</v>
      </c>
    </row>
    <row r="214" spans="2:14">
      <c r="B214" s="16" t="str">
        <f>B$196&amp;" "&amp;C214</f>
        <v>Controladores 2025</v>
      </c>
      <c r="C214" s="72">
        <f t="shared" si="109"/>
        <v>2025</v>
      </c>
      <c r="D214" s="73">
        <f t="shared" ref="D214:N214" si="118">IF(D$191&lt;=$C214,0,IF(D$191&gt;$C214+$P196,0,-$F196/$P196))</f>
        <v>0</v>
      </c>
      <c r="E214" s="73">
        <f t="shared" si="118"/>
        <v>0</v>
      </c>
      <c r="F214" s="73">
        <f t="shared" si="118"/>
        <v>0</v>
      </c>
      <c r="G214" s="73">
        <f t="shared" si="118"/>
        <v>0</v>
      </c>
      <c r="H214" s="73">
        <f t="shared" si="118"/>
        <v>0</v>
      </c>
      <c r="I214" s="73">
        <f t="shared" si="118"/>
        <v>0</v>
      </c>
      <c r="J214" s="73">
        <f t="shared" si="118"/>
        <v>0</v>
      </c>
      <c r="K214" s="73">
        <f t="shared" si="118"/>
        <v>0</v>
      </c>
      <c r="L214" s="73">
        <f t="shared" si="118"/>
        <v>0</v>
      </c>
      <c r="M214" s="73">
        <f t="shared" si="118"/>
        <v>0</v>
      </c>
      <c r="N214" s="73">
        <f t="shared" si="118"/>
        <v>0</v>
      </c>
    </row>
    <row r="215" spans="2:14">
      <c r="B215" s="16" t="str">
        <f>B$197&amp;" "&amp;C215</f>
        <v>Equipo de comunicación y cómputo 2025</v>
      </c>
      <c r="C215" s="72">
        <f t="shared" si="109"/>
        <v>2025</v>
      </c>
      <c r="D215" s="73">
        <f t="shared" ref="D215:N215" si="119">IF(D$191&lt;=$C215,0,IF(D$191&gt;$C215+$P197,0,-$F197/$P197))</f>
        <v>0</v>
      </c>
      <c r="E215" s="73">
        <f t="shared" si="119"/>
        <v>0</v>
      </c>
      <c r="F215" s="73">
        <f t="shared" si="119"/>
        <v>0</v>
      </c>
      <c r="G215" s="73">
        <f t="shared" si="119"/>
        <v>0</v>
      </c>
      <c r="H215" s="73">
        <f t="shared" si="119"/>
        <v>0</v>
      </c>
      <c r="I215" s="73">
        <f t="shared" si="119"/>
        <v>0</v>
      </c>
      <c r="J215" s="73">
        <f t="shared" si="119"/>
        <v>0</v>
      </c>
      <c r="K215" s="73">
        <f t="shared" si="119"/>
        <v>0</v>
      </c>
      <c r="L215" s="73">
        <f t="shared" si="119"/>
        <v>0</v>
      </c>
      <c r="M215" s="73">
        <f t="shared" si="119"/>
        <v>0</v>
      </c>
      <c r="N215" s="73">
        <f t="shared" si="119"/>
        <v>0</v>
      </c>
    </row>
    <row r="216" spans="2:14">
      <c r="B216" s="74" t="str">
        <f>B$193&amp;" "&amp;C216</f>
        <v>Compresores, secadores y filtros 2026</v>
      </c>
      <c r="C216" s="75">
        <f t="shared" si="109"/>
        <v>2026</v>
      </c>
      <c r="D216" s="76">
        <f t="shared" ref="D216:N216" si="120">IF(D$191&lt;=$C216,0,IF(D$191&gt;$C216+$P193,0,-$G193/$P193))</f>
        <v>0</v>
      </c>
      <c r="E216" s="76">
        <f t="shared" si="120"/>
        <v>0</v>
      </c>
      <c r="F216" s="76">
        <f t="shared" si="120"/>
        <v>0</v>
      </c>
      <c r="G216" s="76">
        <f t="shared" si="120"/>
        <v>0</v>
      </c>
      <c r="H216" s="76">
        <f t="shared" si="120"/>
        <v>0</v>
      </c>
      <c r="I216" s="76">
        <f t="shared" si="120"/>
        <v>0</v>
      </c>
      <c r="J216" s="76">
        <f t="shared" si="120"/>
        <v>0</v>
      </c>
      <c r="K216" s="76">
        <f t="shared" si="120"/>
        <v>0</v>
      </c>
      <c r="L216" s="76">
        <f t="shared" si="120"/>
        <v>0</v>
      </c>
      <c r="M216" s="76">
        <f t="shared" si="120"/>
        <v>0</v>
      </c>
      <c r="N216" s="76">
        <f t="shared" si="120"/>
        <v>0</v>
      </c>
    </row>
    <row r="217" spans="2:14">
      <c r="B217" s="74" t="str">
        <f>B$194&amp;" "&amp;C217</f>
        <v>Tanque 2026</v>
      </c>
      <c r="C217" s="75">
        <f t="shared" si="109"/>
        <v>2026</v>
      </c>
      <c r="D217" s="76">
        <f t="shared" ref="D217:N217" si="121">IF(D$191&lt;=$C217,0,IF(D$191&gt;$C217+$P194,0,-$G194/$P194))</f>
        <v>0</v>
      </c>
      <c r="E217" s="76">
        <f t="shared" si="121"/>
        <v>0</v>
      </c>
      <c r="F217" s="76">
        <f t="shared" si="121"/>
        <v>0</v>
      </c>
      <c r="G217" s="76">
        <f t="shared" si="121"/>
        <v>0</v>
      </c>
      <c r="H217" s="76">
        <f t="shared" si="121"/>
        <v>0</v>
      </c>
      <c r="I217" s="76">
        <f t="shared" si="121"/>
        <v>0</v>
      </c>
      <c r="J217" s="76">
        <f t="shared" si="121"/>
        <v>0</v>
      </c>
      <c r="K217" s="76">
        <f t="shared" si="121"/>
        <v>0</v>
      </c>
      <c r="L217" s="76">
        <f t="shared" si="121"/>
        <v>0</v>
      </c>
      <c r="M217" s="76">
        <f t="shared" si="121"/>
        <v>0</v>
      </c>
      <c r="N217" s="76">
        <f t="shared" si="121"/>
        <v>0</v>
      </c>
    </row>
    <row r="218" spans="2:14">
      <c r="B218" s="74" t="str">
        <f>B$195&amp;" "&amp;C218</f>
        <v>Red de aire, ductos, AQUAMAT y montaje 2026</v>
      </c>
      <c r="C218" s="75">
        <f t="shared" si="109"/>
        <v>2026</v>
      </c>
      <c r="D218" s="76">
        <f t="shared" ref="D218:N218" si="122">IF(D$191&lt;=$C218,0,IF(D$191&gt;$C218+$P195,0,-$G195/$P195))</f>
        <v>0</v>
      </c>
      <c r="E218" s="76">
        <f t="shared" si="122"/>
        <v>0</v>
      </c>
      <c r="F218" s="76">
        <f t="shared" si="122"/>
        <v>0</v>
      </c>
      <c r="G218" s="76">
        <f t="shared" si="122"/>
        <v>0</v>
      </c>
      <c r="H218" s="76">
        <f t="shared" si="122"/>
        <v>0</v>
      </c>
      <c r="I218" s="76">
        <f t="shared" si="122"/>
        <v>0</v>
      </c>
      <c r="J218" s="76">
        <f t="shared" si="122"/>
        <v>0</v>
      </c>
      <c r="K218" s="76">
        <f t="shared" si="122"/>
        <v>0</v>
      </c>
      <c r="L218" s="76">
        <f t="shared" si="122"/>
        <v>0</v>
      </c>
      <c r="M218" s="76">
        <f t="shared" si="122"/>
        <v>0</v>
      </c>
      <c r="N218" s="76">
        <f t="shared" si="122"/>
        <v>0</v>
      </c>
    </row>
    <row r="219" spans="2:14">
      <c r="B219" s="74" t="str">
        <f>B$196&amp;" "&amp;C219</f>
        <v>Controladores 2026</v>
      </c>
      <c r="C219" s="75">
        <f t="shared" si="109"/>
        <v>2026</v>
      </c>
      <c r="D219" s="76">
        <f t="shared" ref="D219:N219" si="123">IF(D$191&lt;=$C219,0,IF(D$191&gt;$C219+$P196,0,-$G196/$P196))</f>
        <v>0</v>
      </c>
      <c r="E219" s="76">
        <f t="shared" si="123"/>
        <v>0</v>
      </c>
      <c r="F219" s="76">
        <f t="shared" si="123"/>
        <v>0</v>
      </c>
      <c r="G219" s="76">
        <f t="shared" si="123"/>
        <v>0</v>
      </c>
      <c r="H219" s="76">
        <f t="shared" si="123"/>
        <v>0</v>
      </c>
      <c r="I219" s="76">
        <f t="shared" si="123"/>
        <v>0</v>
      </c>
      <c r="J219" s="76">
        <f t="shared" si="123"/>
        <v>0</v>
      </c>
      <c r="K219" s="76">
        <f t="shared" si="123"/>
        <v>0</v>
      </c>
      <c r="L219" s="76">
        <f t="shared" si="123"/>
        <v>0</v>
      </c>
      <c r="M219" s="76">
        <f t="shared" si="123"/>
        <v>0</v>
      </c>
      <c r="N219" s="76">
        <f t="shared" si="123"/>
        <v>0</v>
      </c>
    </row>
    <row r="220" spans="2:14">
      <c r="B220" s="74" t="str">
        <f>B$197&amp;" "&amp;C220</f>
        <v>Equipo de comunicación y cómputo 2026</v>
      </c>
      <c r="C220" s="75">
        <f t="shared" si="109"/>
        <v>2026</v>
      </c>
      <c r="D220" s="76">
        <f t="shared" ref="D220:N220" si="124">IF(D$191&lt;=$C220,0,IF(D$191&gt;$C220+$P197,0,-$G197/$P197))</f>
        <v>0</v>
      </c>
      <c r="E220" s="76">
        <f t="shared" si="124"/>
        <v>0</v>
      </c>
      <c r="F220" s="76">
        <f t="shared" si="124"/>
        <v>0</v>
      </c>
      <c r="G220" s="76">
        <f t="shared" si="124"/>
        <v>0</v>
      </c>
      <c r="H220" s="76">
        <f t="shared" si="124"/>
        <v>-901.53651423622807</v>
      </c>
      <c r="I220" s="76">
        <f t="shared" si="124"/>
        <v>-901.53651423622807</v>
      </c>
      <c r="J220" s="76">
        <f t="shared" si="124"/>
        <v>-901.53651423622807</v>
      </c>
      <c r="K220" s="76">
        <f t="shared" si="124"/>
        <v>0</v>
      </c>
      <c r="L220" s="76">
        <f t="shared" si="124"/>
        <v>0</v>
      </c>
      <c r="M220" s="76">
        <f t="shared" si="124"/>
        <v>0</v>
      </c>
      <c r="N220" s="76">
        <f t="shared" si="124"/>
        <v>0</v>
      </c>
    </row>
    <row r="221" spans="2:14">
      <c r="B221" s="16" t="str">
        <f>B$193&amp;" "&amp;C221</f>
        <v>Compresores, secadores y filtros 2027</v>
      </c>
      <c r="C221" s="72">
        <f t="shared" si="109"/>
        <v>2027</v>
      </c>
      <c r="D221" s="73">
        <f t="shared" ref="D221:N221" si="125">IF(D$191&lt;=$C221,0,IF(D$191&gt;$C221+$P193,0,-$H193/$P193))</f>
        <v>0</v>
      </c>
      <c r="E221" s="73">
        <f t="shared" si="125"/>
        <v>0</v>
      </c>
      <c r="F221" s="73">
        <f t="shared" si="125"/>
        <v>0</v>
      </c>
      <c r="G221" s="73">
        <f t="shared" si="125"/>
        <v>0</v>
      </c>
      <c r="H221" s="73">
        <f t="shared" si="125"/>
        <v>0</v>
      </c>
      <c r="I221" s="73">
        <f t="shared" si="125"/>
        <v>0</v>
      </c>
      <c r="J221" s="73">
        <f t="shared" si="125"/>
        <v>0</v>
      </c>
      <c r="K221" s="73">
        <f t="shared" si="125"/>
        <v>0</v>
      </c>
      <c r="L221" s="73">
        <f t="shared" si="125"/>
        <v>0</v>
      </c>
      <c r="M221" s="73">
        <f t="shared" si="125"/>
        <v>0</v>
      </c>
      <c r="N221" s="73">
        <f t="shared" si="125"/>
        <v>0</v>
      </c>
    </row>
    <row r="222" spans="2:14">
      <c r="B222" s="16" t="str">
        <f>B$194&amp;" "&amp;C222</f>
        <v>Tanque 2027</v>
      </c>
      <c r="C222" s="72">
        <f t="shared" si="109"/>
        <v>2027</v>
      </c>
      <c r="D222" s="73">
        <f t="shared" ref="D222:N222" si="126">IF(D$191&lt;=$C222,0,IF(D$191&gt;$C222+$P194,0,-$H194/$P194))</f>
        <v>0</v>
      </c>
      <c r="E222" s="73">
        <f t="shared" si="126"/>
        <v>0</v>
      </c>
      <c r="F222" s="73">
        <f t="shared" si="126"/>
        <v>0</v>
      </c>
      <c r="G222" s="73">
        <f t="shared" si="126"/>
        <v>0</v>
      </c>
      <c r="H222" s="73">
        <f t="shared" si="126"/>
        <v>0</v>
      </c>
      <c r="I222" s="73">
        <f t="shared" si="126"/>
        <v>0</v>
      </c>
      <c r="J222" s="73">
        <f t="shared" si="126"/>
        <v>0</v>
      </c>
      <c r="K222" s="73">
        <f t="shared" si="126"/>
        <v>0</v>
      </c>
      <c r="L222" s="73">
        <f t="shared" si="126"/>
        <v>0</v>
      </c>
      <c r="M222" s="73">
        <f t="shared" si="126"/>
        <v>0</v>
      </c>
      <c r="N222" s="73">
        <f t="shared" si="126"/>
        <v>0</v>
      </c>
    </row>
    <row r="223" spans="2:14">
      <c r="B223" s="16" t="str">
        <f>B$195&amp;" "&amp;C223</f>
        <v>Red de aire, ductos, AQUAMAT y montaje 2027</v>
      </c>
      <c r="C223" s="72">
        <f t="shared" si="109"/>
        <v>2027</v>
      </c>
      <c r="D223" s="73">
        <f t="shared" ref="D223:N223" si="127">IF(D$191&lt;=$C223,0,IF(D$191&gt;$C223+$P195,0,-$H195/$P195))</f>
        <v>0</v>
      </c>
      <c r="E223" s="73">
        <f t="shared" si="127"/>
        <v>0</v>
      </c>
      <c r="F223" s="73">
        <f t="shared" si="127"/>
        <v>0</v>
      </c>
      <c r="G223" s="73">
        <f t="shared" si="127"/>
        <v>0</v>
      </c>
      <c r="H223" s="73">
        <f t="shared" si="127"/>
        <v>0</v>
      </c>
      <c r="I223" s="73">
        <f t="shared" si="127"/>
        <v>0</v>
      </c>
      <c r="J223" s="73">
        <f t="shared" si="127"/>
        <v>0</v>
      </c>
      <c r="K223" s="73">
        <f t="shared" si="127"/>
        <v>0</v>
      </c>
      <c r="L223" s="73">
        <f t="shared" si="127"/>
        <v>0</v>
      </c>
      <c r="M223" s="73">
        <f t="shared" si="127"/>
        <v>0</v>
      </c>
      <c r="N223" s="73">
        <f t="shared" si="127"/>
        <v>0</v>
      </c>
    </row>
    <row r="224" spans="2:14">
      <c r="B224" s="16" t="str">
        <f>B$196&amp;" "&amp;C224</f>
        <v>Controladores 2027</v>
      </c>
      <c r="C224" s="72">
        <f t="shared" si="109"/>
        <v>2027</v>
      </c>
      <c r="D224" s="73">
        <f t="shared" ref="D224:N224" si="128">IF(D$191&lt;=$C224,0,IF(D$191&gt;$C224+$P196,0,-$H196/$P196))</f>
        <v>0</v>
      </c>
      <c r="E224" s="73">
        <f t="shared" si="128"/>
        <v>0</v>
      </c>
      <c r="F224" s="73">
        <f t="shared" si="128"/>
        <v>0</v>
      </c>
      <c r="G224" s="73">
        <f t="shared" si="128"/>
        <v>0</v>
      </c>
      <c r="H224" s="73">
        <f t="shared" si="128"/>
        <v>0</v>
      </c>
      <c r="I224" s="73">
        <f t="shared" si="128"/>
        <v>0</v>
      </c>
      <c r="J224" s="73">
        <f t="shared" si="128"/>
        <v>0</v>
      </c>
      <c r="K224" s="73">
        <f t="shared" si="128"/>
        <v>0</v>
      </c>
      <c r="L224" s="73">
        <f t="shared" si="128"/>
        <v>0</v>
      </c>
      <c r="M224" s="73">
        <f t="shared" si="128"/>
        <v>0</v>
      </c>
      <c r="N224" s="73">
        <f t="shared" si="128"/>
        <v>0</v>
      </c>
    </row>
    <row r="225" spans="2:14">
      <c r="B225" s="16" t="str">
        <f>B$197&amp;" "&amp;C225</f>
        <v>Equipo de comunicación y cómputo 2027</v>
      </c>
      <c r="C225" s="72">
        <f t="shared" si="109"/>
        <v>2027</v>
      </c>
      <c r="D225" s="73">
        <f t="shared" ref="D225:N225" si="129">IF(D$191&lt;=$C225,0,IF(D$191&gt;$C225+$P197,0,-$H197/$P197))</f>
        <v>0</v>
      </c>
      <c r="E225" s="73">
        <f t="shared" si="129"/>
        <v>0</v>
      </c>
      <c r="F225" s="73">
        <f t="shared" si="129"/>
        <v>0</v>
      </c>
      <c r="G225" s="73">
        <f t="shared" si="129"/>
        <v>0</v>
      </c>
      <c r="H225" s="73">
        <f t="shared" si="129"/>
        <v>0</v>
      </c>
      <c r="I225" s="73">
        <f t="shared" si="129"/>
        <v>0</v>
      </c>
      <c r="J225" s="73">
        <f t="shared" si="129"/>
        <v>0</v>
      </c>
      <c r="K225" s="73">
        <f t="shared" si="129"/>
        <v>0</v>
      </c>
      <c r="L225" s="73">
        <f t="shared" si="129"/>
        <v>0</v>
      </c>
      <c r="M225" s="73">
        <f t="shared" si="129"/>
        <v>0</v>
      </c>
      <c r="N225" s="73">
        <f t="shared" si="129"/>
        <v>0</v>
      </c>
    </row>
    <row r="226" spans="2:14">
      <c r="B226" s="74" t="str">
        <f>B$193&amp;" "&amp;C226</f>
        <v>Compresores, secadores y filtros 2028</v>
      </c>
      <c r="C226" s="75">
        <f t="shared" si="109"/>
        <v>2028</v>
      </c>
      <c r="D226" s="76">
        <f t="shared" ref="D226:N226" si="130">IF(D$191&lt;=$C226,0,IF(D$191&gt;$C226+$P193,0,-$I193/$P193))</f>
        <v>0</v>
      </c>
      <c r="E226" s="76">
        <f t="shared" si="130"/>
        <v>0</v>
      </c>
      <c r="F226" s="76">
        <f t="shared" si="130"/>
        <v>0</v>
      </c>
      <c r="G226" s="76">
        <f t="shared" si="130"/>
        <v>0</v>
      </c>
      <c r="H226" s="76">
        <f t="shared" si="130"/>
        <v>0</v>
      </c>
      <c r="I226" s="76">
        <f t="shared" si="130"/>
        <v>0</v>
      </c>
      <c r="J226" s="76">
        <f t="shared" si="130"/>
        <v>0</v>
      </c>
      <c r="K226" s="76">
        <f t="shared" si="130"/>
        <v>0</v>
      </c>
      <c r="L226" s="76">
        <f t="shared" si="130"/>
        <v>0</v>
      </c>
      <c r="M226" s="76">
        <f t="shared" si="130"/>
        <v>0</v>
      </c>
      <c r="N226" s="76">
        <f t="shared" si="130"/>
        <v>0</v>
      </c>
    </row>
    <row r="227" spans="2:14">
      <c r="B227" s="74" t="str">
        <f>B$194&amp;" "&amp;C227</f>
        <v>Tanque 2028</v>
      </c>
      <c r="C227" s="75">
        <f t="shared" si="109"/>
        <v>2028</v>
      </c>
      <c r="D227" s="76">
        <f t="shared" ref="D227:N227" si="131">IF(D$191&lt;=$C227,0,IF(D$191&gt;$C227+$P194,0,-$I194/$P194))</f>
        <v>0</v>
      </c>
      <c r="E227" s="76">
        <f t="shared" si="131"/>
        <v>0</v>
      </c>
      <c r="F227" s="76">
        <f t="shared" si="131"/>
        <v>0</v>
      </c>
      <c r="G227" s="76">
        <f t="shared" si="131"/>
        <v>0</v>
      </c>
      <c r="H227" s="76">
        <f t="shared" si="131"/>
        <v>0</v>
      </c>
      <c r="I227" s="76">
        <f t="shared" si="131"/>
        <v>0</v>
      </c>
      <c r="J227" s="76">
        <f t="shared" si="131"/>
        <v>0</v>
      </c>
      <c r="K227" s="76">
        <f t="shared" si="131"/>
        <v>0</v>
      </c>
      <c r="L227" s="76">
        <f t="shared" si="131"/>
        <v>0</v>
      </c>
      <c r="M227" s="76">
        <f t="shared" si="131"/>
        <v>0</v>
      </c>
      <c r="N227" s="76">
        <f t="shared" si="131"/>
        <v>0</v>
      </c>
    </row>
    <row r="228" spans="2:14">
      <c r="B228" s="74" t="str">
        <f>B$195&amp;" "&amp;C228</f>
        <v>Red de aire, ductos, AQUAMAT y montaje 2028</v>
      </c>
      <c r="C228" s="75">
        <f t="shared" si="109"/>
        <v>2028</v>
      </c>
      <c r="D228" s="76">
        <f t="shared" ref="D228:N228" si="132">IF(D$191&lt;=$C228,0,IF(D$191&gt;$C228+$P195,0,-$I195/$P195))</f>
        <v>0</v>
      </c>
      <c r="E228" s="76">
        <f t="shared" si="132"/>
        <v>0</v>
      </c>
      <c r="F228" s="76">
        <f t="shared" si="132"/>
        <v>0</v>
      </c>
      <c r="G228" s="76">
        <f t="shared" si="132"/>
        <v>0</v>
      </c>
      <c r="H228" s="76">
        <f t="shared" si="132"/>
        <v>0</v>
      </c>
      <c r="I228" s="76">
        <f t="shared" si="132"/>
        <v>0</v>
      </c>
      <c r="J228" s="76">
        <f t="shared" si="132"/>
        <v>0</v>
      </c>
      <c r="K228" s="76">
        <f t="shared" si="132"/>
        <v>0</v>
      </c>
      <c r="L228" s="76">
        <f t="shared" si="132"/>
        <v>0</v>
      </c>
      <c r="M228" s="76">
        <f t="shared" si="132"/>
        <v>0</v>
      </c>
      <c r="N228" s="76">
        <f t="shared" si="132"/>
        <v>0</v>
      </c>
    </row>
    <row r="229" spans="2:14">
      <c r="B229" s="74" t="str">
        <f>B$196&amp;" "&amp;C229</f>
        <v>Controladores 2028</v>
      </c>
      <c r="C229" s="75">
        <f t="shared" si="109"/>
        <v>2028</v>
      </c>
      <c r="D229" s="76">
        <f t="shared" ref="D229:N229" si="133">IF(D$191&lt;=$C229,0,IF(D$191&gt;$C229+$P196,0,-$I196/$P196))</f>
        <v>0</v>
      </c>
      <c r="E229" s="76">
        <f t="shared" si="133"/>
        <v>0</v>
      </c>
      <c r="F229" s="76">
        <f t="shared" si="133"/>
        <v>0</v>
      </c>
      <c r="G229" s="76">
        <f t="shared" si="133"/>
        <v>0</v>
      </c>
      <c r="H229" s="76">
        <f t="shared" si="133"/>
        <v>0</v>
      </c>
      <c r="I229" s="76">
        <f t="shared" si="133"/>
        <v>0</v>
      </c>
      <c r="J229" s="76">
        <f t="shared" si="133"/>
        <v>0</v>
      </c>
      <c r="K229" s="76">
        <f t="shared" si="133"/>
        <v>0</v>
      </c>
      <c r="L229" s="76">
        <f t="shared" si="133"/>
        <v>0</v>
      </c>
      <c r="M229" s="76">
        <f t="shared" si="133"/>
        <v>0</v>
      </c>
      <c r="N229" s="76">
        <f t="shared" si="133"/>
        <v>0</v>
      </c>
    </row>
    <row r="230" spans="2:14">
      <c r="B230" s="74" t="str">
        <f>B$197&amp;" "&amp;C230</f>
        <v>Equipo de comunicación y cómputo 2028</v>
      </c>
      <c r="C230" s="75">
        <f t="shared" si="109"/>
        <v>2028</v>
      </c>
      <c r="D230" s="76">
        <f t="shared" ref="D230:N230" si="134">IF(D$191&lt;=$C230,0,IF(D$191&gt;$C230+$P197,0,-$I197/$P197))</f>
        <v>0</v>
      </c>
      <c r="E230" s="76">
        <f t="shared" si="134"/>
        <v>0</v>
      </c>
      <c r="F230" s="76">
        <f t="shared" si="134"/>
        <v>0</v>
      </c>
      <c r="G230" s="76">
        <f t="shared" si="134"/>
        <v>0</v>
      </c>
      <c r="H230" s="76">
        <f t="shared" si="134"/>
        <v>0</v>
      </c>
      <c r="I230" s="76">
        <f t="shared" si="134"/>
        <v>0</v>
      </c>
      <c r="J230" s="76">
        <f t="shared" si="134"/>
        <v>0</v>
      </c>
      <c r="K230" s="76">
        <f t="shared" si="134"/>
        <v>0</v>
      </c>
      <c r="L230" s="76">
        <f t="shared" si="134"/>
        <v>0</v>
      </c>
      <c r="M230" s="76">
        <f t="shared" si="134"/>
        <v>0</v>
      </c>
      <c r="N230" s="76">
        <f t="shared" si="134"/>
        <v>0</v>
      </c>
    </row>
    <row r="231" spans="2:14">
      <c r="B231" s="16" t="str">
        <f>B$193&amp;" "&amp;C231</f>
        <v>Compresores, secadores y filtros 2029</v>
      </c>
      <c r="C231" s="72">
        <f t="shared" si="109"/>
        <v>2029</v>
      </c>
      <c r="D231" s="73">
        <f t="shared" ref="D231:N231" si="135">IF(D$191&lt;=$C231,0,IF(D$191&gt;$C231+$P193,0,-$J193/$P193))</f>
        <v>0</v>
      </c>
      <c r="E231" s="73">
        <f t="shared" si="135"/>
        <v>0</v>
      </c>
      <c r="F231" s="73">
        <f t="shared" si="135"/>
        <v>0</v>
      </c>
      <c r="G231" s="73">
        <f t="shared" si="135"/>
        <v>0</v>
      </c>
      <c r="H231" s="73">
        <f t="shared" si="135"/>
        <v>0</v>
      </c>
      <c r="I231" s="73">
        <f t="shared" si="135"/>
        <v>0</v>
      </c>
      <c r="J231" s="73">
        <f t="shared" si="135"/>
        <v>0</v>
      </c>
      <c r="K231" s="73">
        <f t="shared" si="135"/>
        <v>0</v>
      </c>
      <c r="L231" s="73">
        <f t="shared" si="135"/>
        <v>0</v>
      </c>
      <c r="M231" s="73">
        <f t="shared" si="135"/>
        <v>0</v>
      </c>
      <c r="N231" s="73">
        <f t="shared" si="135"/>
        <v>0</v>
      </c>
    </row>
    <row r="232" spans="2:14">
      <c r="B232" s="16" t="str">
        <f>B$194&amp;" "&amp;C232</f>
        <v>Tanque 2029</v>
      </c>
      <c r="C232" s="72">
        <f t="shared" si="109"/>
        <v>2029</v>
      </c>
      <c r="D232" s="73">
        <f t="shared" ref="D232:N232" si="136">IF(D$191&lt;=$C232,0,IF(D$191&gt;$C232+$P194,0,-$J194/$P194))</f>
        <v>0</v>
      </c>
      <c r="E232" s="73">
        <f t="shared" si="136"/>
        <v>0</v>
      </c>
      <c r="F232" s="73">
        <f t="shared" si="136"/>
        <v>0</v>
      </c>
      <c r="G232" s="73">
        <f t="shared" si="136"/>
        <v>0</v>
      </c>
      <c r="H232" s="73">
        <f t="shared" si="136"/>
        <v>0</v>
      </c>
      <c r="I232" s="73">
        <f t="shared" si="136"/>
        <v>0</v>
      </c>
      <c r="J232" s="73">
        <f t="shared" si="136"/>
        <v>0</v>
      </c>
      <c r="K232" s="73">
        <f t="shared" si="136"/>
        <v>0</v>
      </c>
      <c r="L232" s="73">
        <f t="shared" si="136"/>
        <v>0</v>
      </c>
      <c r="M232" s="73">
        <f t="shared" si="136"/>
        <v>0</v>
      </c>
      <c r="N232" s="73">
        <f t="shared" si="136"/>
        <v>0</v>
      </c>
    </row>
    <row r="233" spans="2:14">
      <c r="B233" s="16" t="str">
        <f>B$195&amp;" "&amp;C233</f>
        <v>Red de aire, ductos, AQUAMAT y montaje 2029</v>
      </c>
      <c r="C233" s="72">
        <f t="shared" si="109"/>
        <v>2029</v>
      </c>
      <c r="D233" s="73">
        <f t="shared" ref="D233:N233" si="137">IF(D$191&lt;=$C233,0,IF(D$191&gt;$C233+$P195,0,-$J195/$P195))</f>
        <v>0</v>
      </c>
      <c r="E233" s="73">
        <f t="shared" si="137"/>
        <v>0</v>
      </c>
      <c r="F233" s="73">
        <f t="shared" si="137"/>
        <v>0</v>
      </c>
      <c r="G233" s="73">
        <f t="shared" si="137"/>
        <v>0</v>
      </c>
      <c r="H233" s="73">
        <f t="shared" si="137"/>
        <v>0</v>
      </c>
      <c r="I233" s="73">
        <f t="shared" si="137"/>
        <v>0</v>
      </c>
      <c r="J233" s="73">
        <f t="shared" si="137"/>
        <v>0</v>
      </c>
      <c r="K233" s="73">
        <f t="shared" si="137"/>
        <v>0</v>
      </c>
      <c r="L233" s="73">
        <f t="shared" si="137"/>
        <v>0</v>
      </c>
      <c r="M233" s="73">
        <f t="shared" si="137"/>
        <v>0</v>
      </c>
      <c r="N233" s="73">
        <f t="shared" si="137"/>
        <v>0</v>
      </c>
    </row>
    <row r="234" spans="2:14">
      <c r="B234" s="16" t="str">
        <f>B$196&amp;" "&amp;C234</f>
        <v>Controladores 2029</v>
      </c>
      <c r="C234" s="72">
        <f t="shared" si="109"/>
        <v>2029</v>
      </c>
      <c r="D234" s="73">
        <f t="shared" ref="D234:N234" si="138">IF(D$191&lt;=$C234,0,IF(D$191&gt;$C234+$P196,0,-$J196/$P196))</f>
        <v>0</v>
      </c>
      <c r="E234" s="73">
        <f t="shared" si="138"/>
        <v>0</v>
      </c>
      <c r="F234" s="73">
        <f t="shared" si="138"/>
        <v>0</v>
      </c>
      <c r="G234" s="73">
        <f t="shared" si="138"/>
        <v>0</v>
      </c>
      <c r="H234" s="73">
        <f t="shared" si="138"/>
        <v>0</v>
      </c>
      <c r="I234" s="73">
        <f t="shared" si="138"/>
        <v>0</v>
      </c>
      <c r="J234" s="73">
        <f t="shared" si="138"/>
        <v>0</v>
      </c>
      <c r="K234" s="73">
        <f t="shared" si="138"/>
        <v>0</v>
      </c>
      <c r="L234" s="73">
        <f t="shared" si="138"/>
        <v>0</v>
      </c>
      <c r="M234" s="73">
        <f t="shared" si="138"/>
        <v>0</v>
      </c>
      <c r="N234" s="73">
        <f t="shared" si="138"/>
        <v>0</v>
      </c>
    </row>
    <row r="235" spans="2:14">
      <c r="B235" s="16" t="str">
        <f>B$197&amp;" "&amp;C235</f>
        <v>Equipo de comunicación y cómputo 2029</v>
      </c>
      <c r="C235" s="72">
        <f t="shared" si="109"/>
        <v>2029</v>
      </c>
      <c r="D235" s="73">
        <f t="shared" ref="D235:N235" si="139">IF(D$191&lt;=$C235,0,IF(D$191&gt;$C235+$P197,0,-$J197/$P197))</f>
        <v>0</v>
      </c>
      <c r="E235" s="73">
        <f t="shared" si="139"/>
        <v>0</v>
      </c>
      <c r="F235" s="73">
        <f t="shared" si="139"/>
        <v>0</v>
      </c>
      <c r="G235" s="73">
        <f t="shared" si="139"/>
        <v>0</v>
      </c>
      <c r="H235" s="73">
        <f t="shared" si="139"/>
        <v>0</v>
      </c>
      <c r="I235" s="73">
        <f t="shared" si="139"/>
        <v>0</v>
      </c>
      <c r="J235" s="73">
        <f t="shared" si="139"/>
        <v>0</v>
      </c>
      <c r="K235" s="73">
        <f t="shared" si="139"/>
        <v>-1056.5942560805292</v>
      </c>
      <c r="L235" s="73">
        <f t="shared" si="139"/>
        <v>-1056.5942560805292</v>
      </c>
      <c r="M235" s="73">
        <f t="shared" si="139"/>
        <v>-1056.5942560805292</v>
      </c>
      <c r="N235" s="73">
        <f t="shared" si="139"/>
        <v>0</v>
      </c>
    </row>
    <row r="236" spans="2:14">
      <c r="B236" s="74" t="str">
        <f>B$193&amp;" "&amp;C236</f>
        <v>Compresores, secadores y filtros 2030</v>
      </c>
      <c r="C236" s="75">
        <f t="shared" si="109"/>
        <v>2030</v>
      </c>
      <c r="D236" s="76">
        <f t="shared" ref="D236:N236" si="140">IF(D$191&lt;=$C236,0,IF(D$191&gt;$C236+$P193,0,-$K193/$P193))</f>
        <v>0</v>
      </c>
      <c r="E236" s="76">
        <f t="shared" si="140"/>
        <v>0</v>
      </c>
      <c r="F236" s="76">
        <f t="shared" si="140"/>
        <v>0</v>
      </c>
      <c r="G236" s="76">
        <f t="shared" si="140"/>
        <v>0</v>
      </c>
      <c r="H236" s="76">
        <f t="shared" si="140"/>
        <v>0</v>
      </c>
      <c r="I236" s="76">
        <f t="shared" si="140"/>
        <v>0</v>
      </c>
      <c r="J236" s="76">
        <f t="shared" si="140"/>
        <v>0</v>
      </c>
      <c r="K236" s="76">
        <f t="shared" si="140"/>
        <v>0</v>
      </c>
      <c r="L236" s="76">
        <f t="shared" si="140"/>
        <v>0</v>
      </c>
      <c r="M236" s="76">
        <f t="shared" si="140"/>
        <v>0</v>
      </c>
      <c r="N236" s="76">
        <f t="shared" si="140"/>
        <v>0</v>
      </c>
    </row>
    <row r="237" spans="2:14">
      <c r="B237" s="74" t="str">
        <f>B$194&amp;" "&amp;C237</f>
        <v>Tanque 2030</v>
      </c>
      <c r="C237" s="75">
        <f t="shared" si="109"/>
        <v>2030</v>
      </c>
      <c r="D237" s="76">
        <f t="shared" ref="D237:N237" si="141">IF(D$191&lt;=$C237,0,IF(D$191&gt;$C237+$P194,0,-$K194/$P194))</f>
        <v>0</v>
      </c>
      <c r="E237" s="76">
        <f t="shared" si="141"/>
        <v>0</v>
      </c>
      <c r="F237" s="76">
        <f t="shared" si="141"/>
        <v>0</v>
      </c>
      <c r="G237" s="76">
        <f t="shared" si="141"/>
        <v>0</v>
      </c>
      <c r="H237" s="76">
        <f t="shared" si="141"/>
        <v>0</v>
      </c>
      <c r="I237" s="76">
        <f t="shared" si="141"/>
        <v>0</v>
      </c>
      <c r="J237" s="76">
        <f t="shared" si="141"/>
        <v>0</v>
      </c>
      <c r="K237" s="76">
        <f t="shared" si="141"/>
        <v>0</v>
      </c>
      <c r="L237" s="76">
        <f t="shared" si="141"/>
        <v>0</v>
      </c>
      <c r="M237" s="76">
        <f t="shared" si="141"/>
        <v>0</v>
      </c>
      <c r="N237" s="76">
        <f t="shared" si="141"/>
        <v>0</v>
      </c>
    </row>
    <row r="238" spans="2:14">
      <c r="B238" s="74" t="str">
        <f>B$195&amp;" "&amp;C238</f>
        <v>Red de aire, ductos, AQUAMAT y montaje 2030</v>
      </c>
      <c r="C238" s="75">
        <f t="shared" ref="C238:C269" si="142">C233+1</f>
        <v>2030</v>
      </c>
      <c r="D238" s="76">
        <f t="shared" ref="D238:N238" si="143">IF(D$191&lt;=$C238,0,IF(D$191&gt;$C238+$P195,0,-$K195/$P195))</f>
        <v>0</v>
      </c>
      <c r="E238" s="76">
        <f t="shared" si="143"/>
        <v>0</v>
      </c>
      <c r="F238" s="76">
        <f t="shared" si="143"/>
        <v>0</v>
      </c>
      <c r="G238" s="76">
        <f t="shared" si="143"/>
        <v>0</v>
      </c>
      <c r="H238" s="76">
        <f t="shared" si="143"/>
        <v>0</v>
      </c>
      <c r="I238" s="76">
        <f t="shared" si="143"/>
        <v>0</v>
      </c>
      <c r="J238" s="76">
        <f t="shared" si="143"/>
        <v>0</v>
      </c>
      <c r="K238" s="76">
        <f t="shared" si="143"/>
        <v>0</v>
      </c>
      <c r="L238" s="76">
        <f t="shared" si="143"/>
        <v>0</v>
      </c>
      <c r="M238" s="76">
        <f t="shared" si="143"/>
        <v>0</v>
      </c>
      <c r="N238" s="76">
        <f t="shared" si="143"/>
        <v>0</v>
      </c>
    </row>
    <row r="239" spans="2:14">
      <c r="B239" s="74" t="str">
        <f>B$196&amp;" "&amp;C239</f>
        <v>Controladores 2030</v>
      </c>
      <c r="C239" s="75">
        <f t="shared" si="142"/>
        <v>2030</v>
      </c>
      <c r="D239" s="76">
        <f t="shared" ref="D239:N239" si="144">IF(D$191&lt;=$C239,0,IF(D$191&gt;$C239+$P196,0,-$K196/$P196))</f>
        <v>0</v>
      </c>
      <c r="E239" s="76">
        <f t="shared" si="144"/>
        <v>0</v>
      </c>
      <c r="F239" s="76">
        <f t="shared" si="144"/>
        <v>0</v>
      </c>
      <c r="G239" s="76">
        <f t="shared" si="144"/>
        <v>0</v>
      </c>
      <c r="H239" s="76">
        <f t="shared" si="144"/>
        <v>0</v>
      </c>
      <c r="I239" s="76">
        <f t="shared" si="144"/>
        <v>0</v>
      </c>
      <c r="J239" s="76">
        <f t="shared" si="144"/>
        <v>0</v>
      </c>
      <c r="K239" s="76">
        <f t="shared" si="144"/>
        <v>0</v>
      </c>
      <c r="L239" s="76">
        <f t="shared" si="144"/>
        <v>0</v>
      </c>
      <c r="M239" s="76">
        <f t="shared" si="144"/>
        <v>0</v>
      </c>
      <c r="N239" s="76">
        <f t="shared" si="144"/>
        <v>0</v>
      </c>
    </row>
    <row r="240" spans="2:14">
      <c r="B240" s="74" t="str">
        <f>B$197&amp;" "&amp;C240</f>
        <v>Equipo de comunicación y cómputo 2030</v>
      </c>
      <c r="C240" s="75">
        <f t="shared" si="142"/>
        <v>2030</v>
      </c>
      <c r="D240" s="76">
        <f t="shared" ref="D240:N240" si="145">IF(D$191&lt;=$C240,0,IF(D$191&gt;$C240+$P197,0,-$K197/$P197))</f>
        <v>0</v>
      </c>
      <c r="E240" s="76">
        <f t="shared" si="145"/>
        <v>0</v>
      </c>
      <c r="F240" s="76">
        <f t="shared" si="145"/>
        <v>0</v>
      </c>
      <c r="G240" s="76">
        <f t="shared" si="145"/>
        <v>0</v>
      </c>
      <c r="H240" s="76">
        <f t="shared" si="145"/>
        <v>0</v>
      </c>
      <c r="I240" s="76">
        <f t="shared" si="145"/>
        <v>0</v>
      </c>
      <c r="J240" s="76">
        <f t="shared" si="145"/>
        <v>0</v>
      </c>
      <c r="K240" s="76">
        <f t="shared" si="145"/>
        <v>0</v>
      </c>
      <c r="L240" s="76">
        <f t="shared" si="145"/>
        <v>0</v>
      </c>
      <c r="M240" s="76">
        <f t="shared" si="145"/>
        <v>0</v>
      </c>
      <c r="N240" s="76">
        <f t="shared" si="145"/>
        <v>0</v>
      </c>
    </row>
    <row r="241" spans="1:14">
      <c r="B241" s="16" t="str">
        <f>B$193&amp;" "&amp;C241</f>
        <v>Compresores, secadores y filtros 2031</v>
      </c>
      <c r="C241" s="72">
        <f t="shared" si="142"/>
        <v>2031</v>
      </c>
      <c r="D241" s="73">
        <f t="shared" ref="D241:N241" si="146">IF(D$191&lt;=$C241,0,IF(D$191&gt;$C241+$P193,0,-$L193/$P193))</f>
        <v>0</v>
      </c>
      <c r="E241" s="73">
        <f t="shared" si="146"/>
        <v>0</v>
      </c>
      <c r="F241" s="73">
        <f t="shared" si="146"/>
        <v>0</v>
      </c>
      <c r="G241" s="73">
        <f t="shared" si="146"/>
        <v>0</v>
      </c>
      <c r="H241" s="73">
        <f t="shared" si="146"/>
        <v>0</v>
      </c>
      <c r="I241" s="73">
        <f t="shared" si="146"/>
        <v>0</v>
      </c>
      <c r="J241" s="73">
        <f t="shared" si="146"/>
        <v>0</v>
      </c>
      <c r="K241" s="73">
        <f t="shared" si="146"/>
        <v>0</v>
      </c>
      <c r="L241" s="73">
        <f t="shared" si="146"/>
        <v>0</v>
      </c>
      <c r="M241" s="73">
        <f t="shared" si="146"/>
        <v>0</v>
      </c>
      <c r="N241" s="73">
        <f t="shared" si="146"/>
        <v>0</v>
      </c>
    </row>
    <row r="242" spans="1:14">
      <c r="B242" s="16" t="str">
        <f>B$194&amp;" "&amp;C242</f>
        <v>Tanque 2031</v>
      </c>
      <c r="C242" s="72">
        <f t="shared" si="142"/>
        <v>2031</v>
      </c>
      <c r="D242" s="73">
        <f t="shared" ref="D242:N242" si="147">IF(D$191&lt;=$C242,0,IF(D$191&gt;$C242+$P194,0,-$L194/$P194))</f>
        <v>0</v>
      </c>
      <c r="E242" s="73">
        <f t="shared" si="147"/>
        <v>0</v>
      </c>
      <c r="F242" s="73">
        <f t="shared" si="147"/>
        <v>0</v>
      </c>
      <c r="G242" s="73">
        <f t="shared" si="147"/>
        <v>0</v>
      </c>
      <c r="H242" s="73">
        <f t="shared" si="147"/>
        <v>0</v>
      </c>
      <c r="I242" s="73">
        <f t="shared" si="147"/>
        <v>0</v>
      </c>
      <c r="J242" s="73">
        <f t="shared" si="147"/>
        <v>0</v>
      </c>
      <c r="K242" s="73">
        <f t="shared" si="147"/>
        <v>0</v>
      </c>
      <c r="L242" s="73">
        <f t="shared" si="147"/>
        <v>0</v>
      </c>
      <c r="M242" s="73">
        <f t="shared" si="147"/>
        <v>0</v>
      </c>
      <c r="N242" s="73">
        <f t="shared" si="147"/>
        <v>0</v>
      </c>
    </row>
    <row r="243" spans="1:14">
      <c r="B243" s="16" t="str">
        <f>B$195&amp;" "&amp;C243</f>
        <v>Red de aire, ductos, AQUAMAT y montaje 2031</v>
      </c>
      <c r="C243" s="72">
        <f t="shared" si="142"/>
        <v>2031</v>
      </c>
      <c r="D243" s="73">
        <f t="shared" ref="D243:N243" si="148">IF(D$191&lt;=$C243,0,IF(D$191&gt;$C243+$P195,0,-$L195/$P195))</f>
        <v>0</v>
      </c>
      <c r="E243" s="73">
        <f t="shared" si="148"/>
        <v>0</v>
      </c>
      <c r="F243" s="73">
        <f t="shared" si="148"/>
        <v>0</v>
      </c>
      <c r="G243" s="73">
        <f t="shared" si="148"/>
        <v>0</v>
      </c>
      <c r="H243" s="73">
        <f t="shared" si="148"/>
        <v>0</v>
      </c>
      <c r="I243" s="73">
        <f t="shared" si="148"/>
        <v>0</v>
      </c>
      <c r="J243" s="73">
        <f t="shared" si="148"/>
        <v>0</v>
      </c>
      <c r="K243" s="73">
        <f t="shared" si="148"/>
        <v>0</v>
      </c>
      <c r="L243" s="73">
        <f t="shared" si="148"/>
        <v>0</v>
      </c>
      <c r="M243" s="73">
        <f t="shared" si="148"/>
        <v>0</v>
      </c>
      <c r="N243" s="73">
        <f t="shared" si="148"/>
        <v>0</v>
      </c>
    </row>
    <row r="244" spans="1:14">
      <c r="B244" s="16" t="str">
        <f>B$196&amp;" "&amp;C244</f>
        <v>Controladores 2031</v>
      </c>
      <c r="C244" s="72">
        <f t="shared" si="142"/>
        <v>2031</v>
      </c>
      <c r="D244" s="73">
        <f t="shared" ref="D244:N244" si="149">IF(D$191&lt;=$C244,0,IF(D$191&gt;$C244+$P196,0,-$L196/$P196))</f>
        <v>0</v>
      </c>
      <c r="E244" s="73">
        <f t="shared" si="149"/>
        <v>0</v>
      </c>
      <c r="F244" s="73">
        <f t="shared" si="149"/>
        <v>0</v>
      </c>
      <c r="G244" s="73">
        <f t="shared" si="149"/>
        <v>0</v>
      </c>
      <c r="H244" s="73">
        <f t="shared" si="149"/>
        <v>0</v>
      </c>
      <c r="I244" s="73">
        <f t="shared" si="149"/>
        <v>0</v>
      </c>
      <c r="J244" s="73">
        <f t="shared" si="149"/>
        <v>0</v>
      </c>
      <c r="K244" s="73">
        <f t="shared" si="149"/>
        <v>0</v>
      </c>
      <c r="L244" s="73">
        <f t="shared" si="149"/>
        <v>0</v>
      </c>
      <c r="M244" s="73">
        <f t="shared" si="149"/>
        <v>0</v>
      </c>
      <c r="N244" s="73">
        <f t="shared" si="149"/>
        <v>0</v>
      </c>
    </row>
    <row r="245" spans="1:14">
      <c r="B245" s="16" t="str">
        <f>B$197&amp;" "&amp;C245</f>
        <v>Equipo de comunicación y cómputo 2031</v>
      </c>
      <c r="C245" s="72">
        <f t="shared" si="142"/>
        <v>2031</v>
      </c>
      <c r="D245" s="73">
        <f t="shared" ref="D245:N245" si="150">IF(D$191&lt;=$C245,0,IF(D$191&gt;$C245+$P197,0,-$L197/$P197))</f>
        <v>0</v>
      </c>
      <c r="E245" s="73">
        <f t="shared" si="150"/>
        <v>0</v>
      </c>
      <c r="F245" s="73">
        <f t="shared" si="150"/>
        <v>0</v>
      </c>
      <c r="G245" s="73">
        <f t="shared" si="150"/>
        <v>0</v>
      </c>
      <c r="H245" s="73">
        <f t="shared" si="150"/>
        <v>0</v>
      </c>
      <c r="I245" s="73">
        <f t="shared" si="150"/>
        <v>0</v>
      </c>
      <c r="J245" s="73">
        <f t="shared" si="150"/>
        <v>0</v>
      </c>
      <c r="K245" s="73">
        <f t="shared" si="150"/>
        <v>0</v>
      </c>
      <c r="L245" s="73">
        <f t="shared" si="150"/>
        <v>0</v>
      </c>
      <c r="M245" s="73">
        <f t="shared" si="150"/>
        <v>0</v>
      </c>
      <c r="N245" s="73">
        <f t="shared" si="150"/>
        <v>0</v>
      </c>
    </row>
    <row r="246" spans="1:14">
      <c r="B246" s="74" t="str">
        <f>B$193&amp;" "&amp;C246</f>
        <v>Compresores, secadores y filtros 2032</v>
      </c>
      <c r="C246" s="75">
        <f t="shared" si="142"/>
        <v>2032</v>
      </c>
      <c r="D246" s="76">
        <f t="shared" ref="D246:N246" si="151">IF(D$191&lt;=$C246,0,IF(D$191&gt;$C246+$P193,0,-$M193/$P193))</f>
        <v>0</v>
      </c>
      <c r="E246" s="76">
        <f t="shared" si="151"/>
        <v>0</v>
      </c>
      <c r="F246" s="76">
        <f t="shared" si="151"/>
        <v>0</v>
      </c>
      <c r="G246" s="76">
        <f t="shared" si="151"/>
        <v>0</v>
      </c>
      <c r="H246" s="76">
        <f t="shared" si="151"/>
        <v>0</v>
      </c>
      <c r="I246" s="76">
        <f t="shared" si="151"/>
        <v>0</v>
      </c>
      <c r="J246" s="76">
        <f t="shared" si="151"/>
        <v>0</v>
      </c>
      <c r="K246" s="76">
        <f t="shared" si="151"/>
        <v>0</v>
      </c>
      <c r="L246" s="76">
        <f t="shared" si="151"/>
        <v>0</v>
      </c>
      <c r="M246" s="76">
        <f t="shared" si="151"/>
        <v>0</v>
      </c>
      <c r="N246" s="76">
        <f t="shared" si="151"/>
        <v>0</v>
      </c>
    </row>
    <row r="247" spans="1:14">
      <c r="B247" s="74" t="str">
        <f>B$194&amp;" "&amp;C247</f>
        <v>Tanque 2032</v>
      </c>
      <c r="C247" s="75">
        <f t="shared" si="142"/>
        <v>2032</v>
      </c>
      <c r="D247" s="76">
        <f t="shared" ref="D247:N247" si="152">IF(D$191&lt;=$C247,0,IF(D$191&gt;$C247+$P194,0,-$M194/$P194))</f>
        <v>0</v>
      </c>
      <c r="E247" s="76">
        <f t="shared" si="152"/>
        <v>0</v>
      </c>
      <c r="F247" s="76">
        <f t="shared" si="152"/>
        <v>0</v>
      </c>
      <c r="G247" s="76">
        <f t="shared" si="152"/>
        <v>0</v>
      </c>
      <c r="H247" s="76">
        <f t="shared" si="152"/>
        <v>0</v>
      </c>
      <c r="I247" s="76">
        <f t="shared" si="152"/>
        <v>0</v>
      </c>
      <c r="J247" s="76">
        <f t="shared" si="152"/>
        <v>0</v>
      </c>
      <c r="K247" s="76">
        <f t="shared" si="152"/>
        <v>0</v>
      </c>
      <c r="L247" s="76">
        <f t="shared" si="152"/>
        <v>0</v>
      </c>
      <c r="M247" s="76">
        <f t="shared" si="152"/>
        <v>0</v>
      </c>
      <c r="N247" s="76">
        <f t="shared" si="152"/>
        <v>0</v>
      </c>
    </row>
    <row r="248" spans="1:14">
      <c r="B248" s="74" t="str">
        <f>B$195&amp;" "&amp;C248</f>
        <v>Red de aire, ductos, AQUAMAT y montaje 2032</v>
      </c>
      <c r="C248" s="75">
        <f t="shared" si="142"/>
        <v>2032</v>
      </c>
      <c r="D248" s="76">
        <f t="shared" ref="D248:N248" si="153">IF(D$191&lt;=$C248,0,IF(D$191&gt;$C248+$P195,0,-$M195/$P195))</f>
        <v>0</v>
      </c>
      <c r="E248" s="76">
        <f t="shared" si="153"/>
        <v>0</v>
      </c>
      <c r="F248" s="76">
        <f t="shared" si="153"/>
        <v>0</v>
      </c>
      <c r="G248" s="76">
        <f t="shared" si="153"/>
        <v>0</v>
      </c>
      <c r="H248" s="76">
        <f t="shared" si="153"/>
        <v>0</v>
      </c>
      <c r="I248" s="76">
        <f t="shared" si="153"/>
        <v>0</v>
      </c>
      <c r="J248" s="76">
        <f t="shared" si="153"/>
        <v>0</v>
      </c>
      <c r="K248" s="76">
        <f t="shared" si="153"/>
        <v>0</v>
      </c>
      <c r="L248" s="76">
        <f t="shared" si="153"/>
        <v>0</v>
      </c>
      <c r="M248" s="76">
        <f t="shared" si="153"/>
        <v>0</v>
      </c>
      <c r="N248" s="76">
        <f t="shared" si="153"/>
        <v>0</v>
      </c>
    </row>
    <row r="249" spans="1:14">
      <c r="B249" s="74" t="str">
        <f>B$196&amp;" "&amp;C249</f>
        <v>Controladores 2032</v>
      </c>
      <c r="C249" s="75">
        <f t="shared" si="142"/>
        <v>2032</v>
      </c>
      <c r="D249" s="76">
        <f t="shared" ref="D249:N249" si="154">IF(D$191&lt;=$C249,0,IF(D$191&gt;$C249+$P196,0,-$M196/$P196))</f>
        <v>0</v>
      </c>
      <c r="E249" s="76">
        <f t="shared" si="154"/>
        <v>0</v>
      </c>
      <c r="F249" s="76">
        <f t="shared" si="154"/>
        <v>0</v>
      </c>
      <c r="G249" s="76">
        <f t="shared" si="154"/>
        <v>0</v>
      </c>
      <c r="H249" s="76">
        <f t="shared" si="154"/>
        <v>0</v>
      </c>
      <c r="I249" s="76">
        <f t="shared" si="154"/>
        <v>0</v>
      </c>
      <c r="J249" s="76">
        <f t="shared" si="154"/>
        <v>0</v>
      </c>
      <c r="K249" s="76">
        <f t="shared" si="154"/>
        <v>0</v>
      </c>
      <c r="L249" s="76">
        <f t="shared" si="154"/>
        <v>0</v>
      </c>
      <c r="M249" s="76">
        <f t="shared" si="154"/>
        <v>0</v>
      </c>
      <c r="N249" s="76">
        <f t="shared" si="154"/>
        <v>0</v>
      </c>
    </row>
    <row r="250" spans="1:14">
      <c r="B250" s="74" t="str">
        <f>B$197&amp;" "&amp;C250</f>
        <v>Equipo de comunicación y cómputo 2032</v>
      </c>
      <c r="C250" s="75">
        <f t="shared" si="142"/>
        <v>2032</v>
      </c>
      <c r="D250" s="76">
        <f t="shared" ref="D250:N250" si="155">IF(D$191&lt;=$C250,0,IF(D$191&gt;$C250+$P197,0,-$M197/$P197))</f>
        <v>0</v>
      </c>
      <c r="E250" s="76">
        <f t="shared" si="155"/>
        <v>0</v>
      </c>
      <c r="F250" s="76">
        <f t="shared" si="155"/>
        <v>0</v>
      </c>
      <c r="G250" s="76">
        <f t="shared" si="155"/>
        <v>0</v>
      </c>
      <c r="H250" s="76">
        <f t="shared" si="155"/>
        <v>0</v>
      </c>
      <c r="I250" s="76">
        <f t="shared" si="155"/>
        <v>0</v>
      </c>
      <c r="J250" s="76">
        <f t="shared" si="155"/>
        <v>0</v>
      </c>
      <c r="K250" s="76">
        <f t="shared" si="155"/>
        <v>0</v>
      </c>
      <c r="L250" s="76">
        <f t="shared" si="155"/>
        <v>0</v>
      </c>
      <c r="M250" s="76">
        <f t="shared" si="155"/>
        <v>0</v>
      </c>
      <c r="N250" s="76">
        <f t="shared" si="155"/>
        <v>-1228.9082113985953</v>
      </c>
    </row>
    <row r="251" spans="1:14">
      <c r="B251" s="16" t="str">
        <f>B$193&amp;" "&amp;C251</f>
        <v>Compresores, secadores y filtros 2033</v>
      </c>
      <c r="C251" s="72">
        <f t="shared" si="142"/>
        <v>2033</v>
      </c>
      <c r="D251" s="73">
        <f t="shared" ref="D251:N251" si="156">IF(D$191&lt;=$C251,0,IF(D$191&gt;$C251+$P193,0,-$N193/$P193))</f>
        <v>0</v>
      </c>
      <c r="E251" s="73">
        <f t="shared" si="156"/>
        <v>0</v>
      </c>
      <c r="F251" s="73">
        <f t="shared" si="156"/>
        <v>0</v>
      </c>
      <c r="G251" s="73">
        <f t="shared" si="156"/>
        <v>0</v>
      </c>
      <c r="H251" s="73">
        <f t="shared" si="156"/>
        <v>0</v>
      </c>
      <c r="I251" s="73">
        <f t="shared" si="156"/>
        <v>0</v>
      </c>
      <c r="J251" s="73">
        <f t="shared" si="156"/>
        <v>0</v>
      </c>
      <c r="K251" s="73">
        <f t="shared" si="156"/>
        <v>0</v>
      </c>
      <c r="L251" s="73">
        <f t="shared" si="156"/>
        <v>0</v>
      </c>
      <c r="M251" s="73">
        <f t="shared" si="156"/>
        <v>0</v>
      </c>
      <c r="N251" s="73">
        <f t="shared" si="156"/>
        <v>0</v>
      </c>
    </row>
    <row r="252" spans="1:14">
      <c r="B252" s="16" t="str">
        <f>B$194&amp;" "&amp;C252</f>
        <v>Tanque 2033</v>
      </c>
      <c r="C252" s="72">
        <f t="shared" si="142"/>
        <v>2033</v>
      </c>
      <c r="D252" s="73">
        <f t="shared" ref="D252:N252" si="157">IF(D$191&lt;=$C252,0,IF(D$191&gt;$C252+$P194,0,-$N194/$P194))</f>
        <v>0</v>
      </c>
      <c r="E252" s="73">
        <f t="shared" si="157"/>
        <v>0</v>
      </c>
      <c r="F252" s="73">
        <f t="shared" si="157"/>
        <v>0</v>
      </c>
      <c r="G252" s="73">
        <f t="shared" si="157"/>
        <v>0</v>
      </c>
      <c r="H252" s="73">
        <f t="shared" si="157"/>
        <v>0</v>
      </c>
      <c r="I252" s="73">
        <f t="shared" si="157"/>
        <v>0</v>
      </c>
      <c r="J252" s="73">
        <f t="shared" si="157"/>
        <v>0</v>
      </c>
      <c r="K252" s="73">
        <f t="shared" si="157"/>
        <v>0</v>
      </c>
      <c r="L252" s="73">
        <f t="shared" si="157"/>
        <v>0</v>
      </c>
      <c r="M252" s="73">
        <f t="shared" si="157"/>
        <v>0</v>
      </c>
      <c r="N252" s="73">
        <f t="shared" si="157"/>
        <v>0</v>
      </c>
    </row>
    <row r="253" spans="1:14">
      <c r="B253" s="16" t="str">
        <f>B$195&amp;" "&amp;C253</f>
        <v>Red de aire, ductos, AQUAMAT y montaje 2033</v>
      </c>
      <c r="C253" s="72">
        <f t="shared" si="142"/>
        <v>2033</v>
      </c>
      <c r="D253" s="73">
        <f t="shared" ref="D253:N253" si="158">IF(D$191&lt;=$C253,0,IF(D$191&gt;$C253+$P195,0,-$N195/$P195))</f>
        <v>0</v>
      </c>
      <c r="E253" s="73">
        <f t="shared" si="158"/>
        <v>0</v>
      </c>
      <c r="F253" s="73">
        <f t="shared" si="158"/>
        <v>0</v>
      </c>
      <c r="G253" s="73">
        <f t="shared" si="158"/>
        <v>0</v>
      </c>
      <c r="H253" s="73">
        <f t="shared" si="158"/>
        <v>0</v>
      </c>
      <c r="I253" s="73">
        <f t="shared" si="158"/>
        <v>0</v>
      </c>
      <c r="J253" s="73">
        <f t="shared" si="158"/>
        <v>0</v>
      </c>
      <c r="K253" s="73">
        <f t="shared" si="158"/>
        <v>0</v>
      </c>
      <c r="L253" s="73">
        <f t="shared" si="158"/>
        <v>0</v>
      </c>
      <c r="M253" s="73">
        <f t="shared" si="158"/>
        <v>0</v>
      </c>
      <c r="N253" s="73">
        <f t="shared" si="158"/>
        <v>0</v>
      </c>
    </row>
    <row r="254" spans="1:14">
      <c r="B254" s="16" t="str">
        <f>B$196&amp;" "&amp;C254</f>
        <v>Controladores 2033</v>
      </c>
      <c r="C254" s="72">
        <f t="shared" si="142"/>
        <v>2033</v>
      </c>
      <c r="D254" s="73">
        <f t="shared" ref="D254:N254" si="159">IF(D$191&lt;=$C254,0,IF(D$191&gt;$C254+$P196,0,-$N196/$P196))</f>
        <v>0</v>
      </c>
      <c r="E254" s="73">
        <f t="shared" si="159"/>
        <v>0</v>
      </c>
      <c r="F254" s="73">
        <f t="shared" si="159"/>
        <v>0</v>
      </c>
      <c r="G254" s="73">
        <f t="shared" si="159"/>
        <v>0</v>
      </c>
      <c r="H254" s="73">
        <f t="shared" si="159"/>
        <v>0</v>
      </c>
      <c r="I254" s="73">
        <f t="shared" si="159"/>
        <v>0</v>
      </c>
      <c r="J254" s="73">
        <f t="shared" si="159"/>
        <v>0</v>
      </c>
      <c r="K254" s="73">
        <f t="shared" si="159"/>
        <v>0</v>
      </c>
      <c r="L254" s="73">
        <f t="shared" si="159"/>
        <v>0</v>
      </c>
      <c r="M254" s="73">
        <f t="shared" si="159"/>
        <v>0</v>
      </c>
      <c r="N254" s="73">
        <f t="shared" si="159"/>
        <v>0</v>
      </c>
    </row>
    <row r="255" spans="1:14">
      <c r="B255" s="16" t="str">
        <f>B$197&amp;" "&amp;C255</f>
        <v>Equipo de comunicación y cómputo 2033</v>
      </c>
      <c r="C255" s="72">
        <f t="shared" si="142"/>
        <v>2033</v>
      </c>
      <c r="D255" s="73">
        <f t="shared" ref="D255:N255" si="160">IF(D$191&lt;=$C255,0,IF(D$191&gt;$C255+$P197,0,-$N197/$P197))</f>
        <v>0</v>
      </c>
      <c r="E255" s="73">
        <f t="shared" si="160"/>
        <v>0</v>
      </c>
      <c r="F255" s="73">
        <f t="shared" si="160"/>
        <v>0</v>
      </c>
      <c r="G255" s="73">
        <f t="shared" si="160"/>
        <v>0</v>
      </c>
      <c r="H255" s="73">
        <f t="shared" si="160"/>
        <v>0</v>
      </c>
      <c r="I255" s="73">
        <f t="shared" si="160"/>
        <v>0</v>
      </c>
      <c r="J255" s="73">
        <f t="shared" si="160"/>
        <v>0</v>
      </c>
      <c r="K255" s="73">
        <f t="shared" si="160"/>
        <v>0</v>
      </c>
      <c r="L255" s="73">
        <f t="shared" si="160"/>
        <v>0</v>
      </c>
      <c r="M255" s="73">
        <f t="shared" si="160"/>
        <v>0</v>
      </c>
      <c r="N255" s="73">
        <f t="shared" si="160"/>
        <v>0</v>
      </c>
    </row>
    <row r="256" spans="1:14">
      <c r="A256" s="15" t="s">
        <v>43</v>
      </c>
      <c r="B256" s="52" t="s">
        <v>38</v>
      </c>
      <c r="C256" s="52"/>
      <c r="D256" s="77">
        <f t="shared" ref="D256:N256" si="161">SUM(D201:D255)</f>
        <v>0</v>
      </c>
      <c r="E256" s="77">
        <f t="shared" si="161"/>
        <v>-414702.96659229341</v>
      </c>
      <c r="F256" s="77">
        <f t="shared" si="161"/>
        <v>-414702.96659229341</v>
      </c>
      <c r="G256" s="77">
        <f t="shared" si="161"/>
        <v>-414702.96659229341</v>
      </c>
      <c r="H256" s="77">
        <f t="shared" si="161"/>
        <v>-414736.05009319633</v>
      </c>
      <c r="I256" s="77">
        <f t="shared" si="161"/>
        <v>-414736.05009319633</v>
      </c>
      <c r="J256" s="77">
        <f t="shared" si="161"/>
        <v>-414736.05009319633</v>
      </c>
      <c r="K256" s="77">
        <f t="shared" si="161"/>
        <v>-414891.1078350406</v>
      </c>
      <c r="L256" s="77">
        <f t="shared" si="161"/>
        <v>-414891.1078350406</v>
      </c>
      <c r="M256" s="77">
        <f t="shared" si="161"/>
        <v>-414891.1078350406</v>
      </c>
      <c r="N256" s="77">
        <f t="shared" si="161"/>
        <v>-415063.42179035867</v>
      </c>
    </row>
    <row r="257" spans="1:16">
      <c r="A257" s="38" t="s">
        <v>45</v>
      </c>
      <c r="B257" s="62" t="s">
        <v>39</v>
      </c>
      <c r="D257" s="73">
        <f t="shared" ref="D257:N257" si="162">C257+D256</f>
        <v>0</v>
      </c>
      <c r="E257" s="73">
        <f t="shared" si="162"/>
        <v>-414702.96659229341</v>
      </c>
      <c r="F257" s="73">
        <f t="shared" si="162"/>
        <v>-829405.93318458681</v>
      </c>
      <c r="G257" s="73">
        <f t="shared" si="162"/>
        <v>-1244108.8997768802</v>
      </c>
      <c r="H257" s="73">
        <f t="shared" si="162"/>
        <v>-1658844.9498700765</v>
      </c>
      <c r="I257" s="73">
        <f t="shared" si="162"/>
        <v>-2073580.9999632728</v>
      </c>
      <c r="J257" s="73">
        <f t="shared" si="162"/>
        <v>-2488317.0500564692</v>
      </c>
      <c r="K257" s="73">
        <f t="shared" si="162"/>
        <v>-2903208.1578915096</v>
      </c>
      <c r="L257" s="73">
        <f t="shared" si="162"/>
        <v>-3318099.26572655</v>
      </c>
      <c r="M257" s="73">
        <f t="shared" si="162"/>
        <v>-3732990.3735615904</v>
      </c>
      <c r="N257" s="73">
        <f t="shared" si="162"/>
        <v>-4148053.7953519491</v>
      </c>
      <c r="P257" s="71"/>
    </row>
    <row r="258" spans="1:16">
      <c r="A258" s="38" t="s">
        <v>45</v>
      </c>
      <c r="B258" s="62" t="s">
        <v>40</v>
      </c>
      <c r="D258" s="73">
        <f t="shared" ref="D258:N258" si="163">C258+D198</f>
        <v>4140950.4948296007</v>
      </c>
      <c r="E258" s="73">
        <f t="shared" si="163"/>
        <v>4140950.4948296007</v>
      </c>
      <c r="F258" s="73">
        <f t="shared" si="163"/>
        <v>4140950.4948296007</v>
      </c>
      <c r="G258" s="73">
        <f t="shared" si="163"/>
        <v>4143655.1043723095</v>
      </c>
      <c r="H258" s="73">
        <f t="shared" si="163"/>
        <v>4143655.1043723095</v>
      </c>
      <c r="I258" s="73">
        <f t="shared" si="163"/>
        <v>4143655.1043723095</v>
      </c>
      <c r="J258" s="73">
        <f t="shared" si="163"/>
        <v>4146824.8871405511</v>
      </c>
      <c r="K258" s="73">
        <f t="shared" si="163"/>
        <v>4146824.8871405511</v>
      </c>
      <c r="L258" s="73">
        <f t="shared" si="163"/>
        <v>4146824.8871405511</v>
      </c>
      <c r="M258" s="73">
        <f t="shared" si="163"/>
        <v>4150511.6117747468</v>
      </c>
      <c r="N258" s="73">
        <f t="shared" si="163"/>
        <v>4150511.6117747468</v>
      </c>
      <c r="P258" s="71"/>
    </row>
    <row r="260" spans="1:16">
      <c r="D260" s="21">
        <f t="shared" ref="D260:N260" si="164">D$9</f>
        <v>0</v>
      </c>
      <c r="E260" s="21">
        <f t="shared" si="164"/>
        <v>1</v>
      </c>
      <c r="F260" s="21">
        <f t="shared" si="164"/>
        <v>2</v>
      </c>
      <c r="G260" s="21">
        <f t="shared" si="164"/>
        <v>3</v>
      </c>
      <c r="H260" s="21">
        <f t="shared" si="164"/>
        <v>4</v>
      </c>
      <c r="I260" s="21">
        <f t="shared" si="164"/>
        <v>5</v>
      </c>
      <c r="J260" s="21">
        <f t="shared" si="164"/>
        <v>6</v>
      </c>
      <c r="K260" s="21">
        <f t="shared" si="164"/>
        <v>7</v>
      </c>
      <c r="L260" s="21">
        <f t="shared" si="164"/>
        <v>8</v>
      </c>
      <c r="M260" s="21">
        <f t="shared" si="164"/>
        <v>9</v>
      </c>
      <c r="N260" s="21">
        <f t="shared" si="164"/>
        <v>10</v>
      </c>
    </row>
    <row r="261" spans="1:16" ht="18.75">
      <c r="B261" s="37" t="s">
        <v>73</v>
      </c>
      <c r="D261" s="21">
        <f t="shared" ref="D261:N261" si="165">D$10</f>
        <v>2023</v>
      </c>
      <c r="E261" s="21">
        <f t="shared" si="165"/>
        <v>2024</v>
      </c>
      <c r="F261" s="21">
        <f t="shared" si="165"/>
        <v>2025</v>
      </c>
      <c r="G261" s="21">
        <f t="shared" si="165"/>
        <v>2026</v>
      </c>
      <c r="H261" s="21">
        <f t="shared" si="165"/>
        <v>2027</v>
      </c>
      <c r="I261" s="21">
        <f t="shared" si="165"/>
        <v>2028</v>
      </c>
      <c r="J261" s="21">
        <f t="shared" si="165"/>
        <v>2029</v>
      </c>
      <c r="K261" s="21">
        <f t="shared" si="165"/>
        <v>2030</v>
      </c>
      <c r="L261" s="21">
        <f t="shared" si="165"/>
        <v>2031</v>
      </c>
      <c r="M261" s="21">
        <f t="shared" si="165"/>
        <v>2032</v>
      </c>
      <c r="N261" s="21">
        <f t="shared" si="165"/>
        <v>2033</v>
      </c>
      <c r="P261" s="37"/>
    </row>
    <row r="263" spans="1:16">
      <c r="B263" s="16" t="s">
        <v>74</v>
      </c>
      <c r="D263" s="73">
        <f>EEFFs!C27</f>
        <v>0</v>
      </c>
      <c r="E263" s="73">
        <f>EEFFs!D27</f>
        <v>0</v>
      </c>
      <c r="F263" s="73">
        <f>EEFFs!E27</f>
        <v>422792.38666750269</v>
      </c>
      <c r="G263" s="73">
        <f>EEFFs!F27</f>
        <v>831857.1069461616</v>
      </c>
      <c r="H263" s="73">
        <f>EEFFs!G27</f>
        <v>1383457.8923830031</v>
      </c>
      <c r="I263" s="73">
        <f>EEFFs!H27</f>
        <v>1947829.0299896519</v>
      </c>
      <c r="J263" s="73">
        <f>EEFFs!I27</f>
        <v>2640503.9339146297</v>
      </c>
      <c r="K263" s="73">
        <f>EEFFs!J27</f>
        <v>3672147.6055174563</v>
      </c>
      <c r="L263" s="73">
        <f>EEFFs!K27</f>
        <v>4763511.7843643203</v>
      </c>
      <c r="M263" s="73">
        <f>EEFFs!L27</f>
        <v>5837712.8025374673</v>
      </c>
      <c r="N263" s="73">
        <f>EEFFs!M27</f>
        <v>7046371.5930823525</v>
      </c>
    </row>
    <row r="264" spans="1:16">
      <c r="B264" s="16" t="s">
        <v>75</v>
      </c>
      <c r="D264" s="73">
        <f t="shared" ref="D264:N264" si="166">D198</f>
        <v>4140950.4948296007</v>
      </c>
      <c r="E264" s="73">
        <f t="shared" si="166"/>
        <v>0</v>
      </c>
      <c r="F264" s="73">
        <f t="shared" si="166"/>
        <v>0</v>
      </c>
      <c r="G264" s="73">
        <f t="shared" si="166"/>
        <v>2704.6095427086843</v>
      </c>
      <c r="H264" s="73">
        <f t="shared" si="166"/>
        <v>0</v>
      </c>
      <c r="I264" s="73">
        <f t="shared" si="166"/>
        <v>0</v>
      </c>
      <c r="J264" s="73">
        <f t="shared" si="166"/>
        <v>3169.7827682415877</v>
      </c>
      <c r="K264" s="73">
        <f t="shared" si="166"/>
        <v>0</v>
      </c>
      <c r="L264" s="73">
        <f t="shared" si="166"/>
        <v>0</v>
      </c>
      <c r="M264" s="73">
        <f t="shared" si="166"/>
        <v>3686.7246341957857</v>
      </c>
      <c r="N264" s="73">
        <f t="shared" si="166"/>
        <v>0</v>
      </c>
    </row>
    <row r="265" spans="1:16">
      <c r="B265" s="16" t="s">
        <v>76</v>
      </c>
      <c r="D265" s="73">
        <f>D177</f>
        <v>41409.504948296009</v>
      </c>
      <c r="E265" s="73"/>
      <c r="F265" s="73"/>
      <c r="G265" s="73"/>
      <c r="H265" s="73"/>
      <c r="I265" s="73"/>
      <c r="J265" s="73"/>
      <c r="K265" s="73"/>
      <c r="L265" s="73"/>
      <c r="M265" s="73"/>
      <c r="N265" s="73"/>
    </row>
    <row r="266" spans="1:16">
      <c r="B266" s="16" t="s">
        <v>77</v>
      </c>
      <c r="D266" s="73">
        <f>IF(D263&gt;D264+D265,0,D264+D265-D263)</f>
        <v>4182359.9997778968</v>
      </c>
      <c r="E266" s="73">
        <f t="shared" ref="E266:N266" si="167">IF(E263&gt;E264,0,E264-E263)</f>
        <v>0</v>
      </c>
      <c r="F266" s="73">
        <f t="shared" si="167"/>
        <v>0</v>
      </c>
      <c r="G266" s="73">
        <f t="shared" si="167"/>
        <v>0</v>
      </c>
      <c r="H266" s="73">
        <f t="shared" si="167"/>
        <v>0</v>
      </c>
      <c r="I266" s="73">
        <f t="shared" si="167"/>
        <v>0</v>
      </c>
      <c r="J266" s="73">
        <f t="shared" si="167"/>
        <v>0</v>
      </c>
      <c r="K266" s="73">
        <f t="shared" si="167"/>
        <v>0</v>
      </c>
      <c r="L266" s="73">
        <f t="shared" si="167"/>
        <v>0</v>
      </c>
      <c r="M266" s="73">
        <f t="shared" si="167"/>
        <v>0</v>
      </c>
      <c r="N266" s="73">
        <f t="shared" si="167"/>
        <v>0</v>
      </c>
    </row>
    <row r="267" spans="1:16">
      <c r="A267" s="15" t="s">
        <v>78</v>
      </c>
      <c r="B267" s="16" t="s">
        <v>79</v>
      </c>
      <c r="D267" s="73">
        <f t="shared" ref="D267:N267" si="168">D$266*$D271</f>
        <v>2509415.999866738</v>
      </c>
      <c r="E267" s="73">
        <f t="shared" si="168"/>
        <v>0</v>
      </c>
      <c r="F267" s="73">
        <f t="shared" si="168"/>
        <v>0</v>
      </c>
      <c r="G267" s="73">
        <f t="shared" si="168"/>
        <v>0</v>
      </c>
      <c r="H267" s="73">
        <f t="shared" si="168"/>
        <v>0</v>
      </c>
      <c r="I267" s="73">
        <f t="shared" si="168"/>
        <v>0</v>
      </c>
      <c r="J267" s="73">
        <f t="shared" si="168"/>
        <v>0</v>
      </c>
      <c r="K267" s="73">
        <f t="shared" si="168"/>
        <v>0</v>
      </c>
      <c r="L267" s="73">
        <f t="shared" si="168"/>
        <v>0</v>
      </c>
      <c r="M267" s="73">
        <f t="shared" si="168"/>
        <v>0</v>
      </c>
      <c r="N267" s="73">
        <f t="shared" si="168"/>
        <v>0</v>
      </c>
    </row>
    <row r="268" spans="1:16">
      <c r="B268" s="16" t="s">
        <v>80</v>
      </c>
      <c r="D268" s="73">
        <f t="shared" ref="D268:N268" si="169">D$266*$D272</f>
        <v>1672943.9999111588</v>
      </c>
      <c r="E268" s="73">
        <f t="shared" si="169"/>
        <v>0</v>
      </c>
      <c r="F268" s="73">
        <f t="shared" si="169"/>
        <v>0</v>
      </c>
      <c r="G268" s="73">
        <f t="shared" si="169"/>
        <v>0</v>
      </c>
      <c r="H268" s="73">
        <f t="shared" si="169"/>
        <v>0</v>
      </c>
      <c r="I268" s="73">
        <f t="shared" si="169"/>
        <v>0</v>
      </c>
      <c r="J268" s="73">
        <f t="shared" si="169"/>
        <v>0</v>
      </c>
      <c r="K268" s="73">
        <f t="shared" si="169"/>
        <v>0</v>
      </c>
      <c r="L268" s="73">
        <f t="shared" si="169"/>
        <v>0</v>
      </c>
      <c r="M268" s="73">
        <f t="shared" si="169"/>
        <v>0</v>
      </c>
      <c r="N268" s="73">
        <f t="shared" si="169"/>
        <v>0</v>
      </c>
    </row>
    <row r="270" spans="1:16">
      <c r="B270" s="16" t="s">
        <v>81</v>
      </c>
    </row>
    <row r="271" spans="1:16">
      <c r="B271" s="16" t="s">
        <v>82</v>
      </c>
      <c r="C271" s="81"/>
      <c r="D271" s="82">
        <v>0.6</v>
      </c>
    </row>
    <row r="272" spans="1:16">
      <c r="B272" s="16" t="s">
        <v>83</v>
      </c>
      <c r="D272" s="83">
        <f>1-D271</f>
        <v>0.4</v>
      </c>
    </row>
    <row r="274" spans="1:16">
      <c r="D274" s="21">
        <f t="shared" ref="D274:N274" si="170">D$9</f>
        <v>0</v>
      </c>
      <c r="E274" s="21">
        <f t="shared" si="170"/>
        <v>1</v>
      </c>
      <c r="F274" s="21">
        <f t="shared" si="170"/>
        <v>2</v>
      </c>
      <c r="G274" s="21">
        <f t="shared" si="170"/>
        <v>3</v>
      </c>
      <c r="H274" s="21">
        <f t="shared" si="170"/>
        <v>4</v>
      </c>
      <c r="I274" s="21">
        <f t="shared" si="170"/>
        <v>5</v>
      </c>
      <c r="J274" s="21">
        <f t="shared" si="170"/>
        <v>6</v>
      </c>
      <c r="K274" s="21">
        <f t="shared" si="170"/>
        <v>7</v>
      </c>
      <c r="L274" s="21">
        <f t="shared" si="170"/>
        <v>8</v>
      </c>
      <c r="M274" s="21">
        <f t="shared" si="170"/>
        <v>9</v>
      </c>
      <c r="N274" s="21">
        <f t="shared" si="170"/>
        <v>10</v>
      </c>
    </row>
    <row r="275" spans="1:16" ht="18.75">
      <c r="B275" s="37" t="s">
        <v>83</v>
      </c>
      <c r="D275" s="21">
        <f t="shared" ref="D275:N275" si="171">D$10</f>
        <v>2023</v>
      </c>
      <c r="E275" s="21">
        <f t="shared" si="171"/>
        <v>2024</v>
      </c>
      <c r="F275" s="21">
        <f t="shared" si="171"/>
        <v>2025</v>
      </c>
      <c r="G275" s="21">
        <f t="shared" si="171"/>
        <v>2026</v>
      </c>
      <c r="H275" s="21">
        <f t="shared" si="171"/>
        <v>2027</v>
      </c>
      <c r="I275" s="21">
        <f t="shared" si="171"/>
        <v>2028</v>
      </c>
      <c r="J275" s="21">
        <f t="shared" si="171"/>
        <v>2029</v>
      </c>
      <c r="K275" s="21">
        <f t="shared" si="171"/>
        <v>2030</v>
      </c>
      <c r="L275" s="21">
        <f t="shared" si="171"/>
        <v>2031</v>
      </c>
      <c r="M275" s="21">
        <f t="shared" si="171"/>
        <v>2032</v>
      </c>
      <c r="N275" s="21">
        <f t="shared" si="171"/>
        <v>2033</v>
      </c>
      <c r="P275" s="37"/>
    </row>
    <row r="277" spans="1:16">
      <c r="B277" s="84" t="s">
        <v>84</v>
      </c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6">
      <c r="A278" s="15" t="s">
        <v>47</v>
      </c>
      <c r="B278" s="87" t="s">
        <v>80</v>
      </c>
      <c r="D278" s="73">
        <f t="shared" ref="D278:N278" si="172">D268</f>
        <v>1672943.9999111588</v>
      </c>
      <c r="E278" s="73">
        <f t="shared" si="172"/>
        <v>0</v>
      </c>
      <c r="F278" s="73">
        <f t="shared" si="172"/>
        <v>0</v>
      </c>
      <c r="G278" s="73">
        <f t="shared" si="172"/>
        <v>0</v>
      </c>
      <c r="H278" s="73">
        <f t="shared" si="172"/>
        <v>0</v>
      </c>
      <c r="I278" s="73">
        <f t="shared" si="172"/>
        <v>0</v>
      </c>
      <c r="J278" s="73">
        <f t="shared" si="172"/>
        <v>0</v>
      </c>
      <c r="K278" s="73">
        <f t="shared" si="172"/>
        <v>0</v>
      </c>
      <c r="L278" s="73">
        <f t="shared" si="172"/>
        <v>0</v>
      </c>
      <c r="M278" s="73">
        <f t="shared" si="172"/>
        <v>0</v>
      </c>
      <c r="N278" s="88">
        <f t="shared" si="172"/>
        <v>0</v>
      </c>
    </row>
    <row r="279" spans="1:16">
      <c r="A279" s="15" t="s">
        <v>45</v>
      </c>
      <c r="B279" s="87" t="s">
        <v>85</v>
      </c>
      <c r="D279" s="73">
        <f t="shared" ref="D279:N279" si="173">D291+D304</f>
        <v>1672943.9999111588</v>
      </c>
      <c r="E279" s="73">
        <f t="shared" si="173"/>
        <v>1338355.199928927</v>
      </c>
      <c r="F279" s="73">
        <f t="shared" si="173"/>
        <v>1003766.3999466952</v>
      </c>
      <c r="G279" s="73">
        <f t="shared" si="173"/>
        <v>669177.59996446338</v>
      </c>
      <c r="H279" s="73">
        <f t="shared" si="173"/>
        <v>334588.79998223163</v>
      </c>
      <c r="I279" s="73">
        <f t="shared" si="173"/>
        <v>0</v>
      </c>
      <c r="J279" s="73">
        <f t="shared" si="173"/>
        <v>0</v>
      </c>
      <c r="K279" s="73">
        <f t="shared" si="173"/>
        <v>0</v>
      </c>
      <c r="L279" s="73">
        <f t="shared" si="173"/>
        <v>0</v>
      </c>
      <c r="M279" s="73">
        <f t="shared" si="173"/>
        <v>0</v>
      </c>
      <c r="N279" s="88">
        <f t="shared" si="173"/>
        <v>0</v>
      </c>
    </row>
    <row r="280" spans="1:16">
      <c r="B280" s="87" t="s">
        <v>86</v>
      </c>
      <c r="D280" s="73">
        <f t="shared" ref="D280:N280" si="174">D292+D305</f>
        <v>0</v>
      </c>
      <c r="E280" s="73">
        <f t="shared" si="174"/>
        <v>-334588.79998223175</v>
      </c>
      <c r="F280" s="73">
        <f t="shared" si="174"/>
        <v>-334588.79998223175</v>
      </c>
      <c r="G280" s="73">
        <f t="shared" si="174"/>
        <v>-334588.79998223175</v>
      </c>
      <c r="H280" s="73">
        <f t="shared" si="174"/>
        <v>-334588.79998223175</v>
      </c>
      <c r="I280" s="73">
        <f t="shared" si="174"/>
        <v>-334588.79998223175</v>
      </c>
      <c r="J280" s="73">
        <f t="shared" si="174"/>
        <v>0</v>
      </c>
      <c r="K280" s="73">
        <f t="shared" si="174"/>
        <v>0</v>
      </c>
      <c r="L280" s="73">
        <f t="shared" si="174"/>
        <v>0</v>
      </c>
      <c r="M280" s="73">
        <f t="shared" si="174"/>
        <v>0</v>
      </c>
      <c r="N280" s="88">
        <f t="shared" si="174"/>
        <v>0</v>
      </c>
    </row>
    <row r="281" spans="1:16">
      <c r="A281" s="15" t="s">
        <v>43</v>
      </c>
      <c r="B281" s="87" t="s">
        <v>87</v>
      </c>
      <c r="D281" s="73">
        <f t="shared" ref="D281:N281" si="175">D293+D306</f>
        <v>0</v>
      </c>
      <c r="E281" s="73">
        <f t="shared" si="175"/>
        <v>-292804.59555791889</v>
      </c>
      <c r="F281" s="73">
        <f t="shared" si="175"/>
        <v>-184799.46856783101</v>
      </c>
      <c r="G281" s="73">
        <f t="shared" si="175"/>
        <v>-129928.47071681001</v>
      </c>
      <c r="H281" s="73">
        <f t="shared" si="175"/>
        <v>-85968.69824914803</v>
      </c>
      <c r="I281" s="73">
        <f t="shared" si="175"/>
        <v>-42984.349124574008</v>
      </c>
      <c r="J281" s="73">
        <f t="shared" si="175"/>
        <v>0</v>
      </c>
      <c r="K281" s="73">
        <f t="shared" si="175"/>
        <v>0</v>
      </c>
      <c r="L281" s="73">
        <f t="shared" si="175"/>
        <v>0</v>
      </c>
      <c r="M281" s="73">
        <f t="shared" si="175"/>
        <v>0</v>
      </c>
      <c r="N281" s="88">
        <f t="shared" si="175"/>
        <v>0</v>
      </c>
    </row>
    <row r="282" spans="1:16">
      <c r="A282" s="15" t="s">
        <v>47</v>
      </c>
      <c r="B282" s="87" t="s">
        <v>88</v>
      </c>
      <c r="C282" s="89"/>
      <c r="D282" s="90">
        <f t="shared" ref="D282:N282" si="176">SUM(D280:D281)</f>
        <v>0</v>
      </c>
      <c r="E282" s="90">
        <f t="shared" si="176"/>
        <v>-627393.39554015058</v>
      </c>
      <c r="F282" s="90">
        <f t="shared" si="176"/>
        <v>-519388.26855006278</v>
      </c>
      <c r="G282" s="90">
        <f t="shared" si="176"/>
        <v>-464517.27069904178</v>
      </c>
      <c r="H282" s="90">
        <f t="shared" si="176"/>
        <v>-420557.49823137978</v>
      </c>
      <c r="I282" s="90">
        <f t="shared" si="176"/>
        <v>-377573.14910680574</v>
      </c>
      <c r="J282" s="90">
        <f t="shared" si="176"/>
        <v>0</v>
      </c>
      <c r="K282" s="90">
        <f t="shared" si="176"/>
        <v>0</v>
      </c>
      <c r="L282" s="90">
        <f t="shared" si="176"/>
        <v>0</v>
      </c>
      <c r="M282" s="90">
        <f t="shared" si="176"/>
        <v>0</v>
      </c>
      <c r="N282" s="91">
        <f t="shared" si="176"/>
        <v>0</v>
      </c>
    </row>
    <row r="284" spans="1:16">
      <c r="B284" s="21" t="str">
        <f>"Crédito "&amp;C285</f>
        <v>Crédito 2023</v>
      </c>
    </row>
    <row r="285" spans="1:16">
      <c r="B285" s="16" t="s">
        <v>89</v>
      </c>
      <c r="C285" s="16">
        <f>D275</f>
        <v>2023</v>
      </c>
    </row>
    <row r="286" spans="1:16">
      <c r="B286" s="16" t="s">
        <v>90</v>
      </c>
      <c r="D286" s="73">
        <f>D$268</f>
        <v>1672943.9999111588</v>
      </c>
    </row>
    <row r="287" spans="1:16">
      <c r="B287" s="16" t="s">
        <v>91</v>
      </c>
      <c r="D287" s="92">
        <v>0</v>
      </c>
    </row>
    <row r="288" spans="1:16">
      <c r="B288" s="16" t="s">
        <v>92</v>
      </c>
      <c r="D288" s="92">
        <v>5</v>
      </c>
    </row>
    <row r="289" spans="2:14">
      <c r="B289" s="16" t="s">
        <v>93</v>
      </c>
      <c r="D289" s="72">
        <f>D288+D287</f>
        <v>5</v>
      </c>
    </row>
    <row r="290" spans="2:14">
      <c r="B290" s="16" t="s">
        <v>94</v>
      </c>
      <c r="D290" s="73">
        <f t="shared" ref="D290:N290" si="177">IF(D$275=$C285,$D286,0)</f>
        <v>1672943.9999111588</v>
      </c>
      <c r="E290" s="73">
        <f t="shared" si="177"/>
        <v>0</v>
      </c>
      <c r="F290" s="73">
        <f t="shared" si="177"/>
        <v>0</v>
      </c>
      <c r="G290" s="73">
        <f t="shared" si="177"/>
        <v>0</v>
      </c>
      <c r="H290" s="73">
        <f t="shared" si="177"/>
        <v>0</v>
      </c>
      <c r="I290" s="73">
        <f t="shared" si="177"/>
        <v>0</v>
      </c>
      <c r="J290" s="73">
        <f t="shared" si="177"/>
        <v>0</v>
      </c>
      <c r="K290" s="73">
        <f t="shared" si="177"/>
        <v>0</v>
      </c>
      <c r="L290" s="73">
        <f t="shared" si="177"/>
        <v>0</v>
      </c>
      <c r="M290" s="73">
        <f t="shared" si="177"/>
        <v>0</v>
      </c>
      <c r="N290" s="73">
        <f t="shared" si="177"/>
        <v>0</v>
      </c>
    </row>
    <row r="291" spans="2:14">
      <c r="B291" s="16" t="s">
        <v>85</v>
      </c>
      <c r="D291" s="73">
        <f t="shared" ref="D291:N291" si="178">C291+D290+D292</f>
        <v>1672943.9999111588</v>
      </c>
      <c r="E291" s="73">
        <f t="shared" si="178"/>
        <v>1338355.199928927</v>
      </c>
      <c r="F291" s="73">
        <f t="shared" si="178"/>
        <v>1003766.3999466952</v>
      </c>
      <c r="G291" s="73">
        <f t="shared" si="178"/>
        <v>669177.59996446338</v>
      </c>
      <c r="H291" s="73">
        <f t="shared" si="178"/>
        <v>334588.79998223163</v>
      </c>
      <c r="I291" s="73">
        <f t="shared" si="178"/>
        <v>0</v>
      </c>
      <c r="J291" s="73">
        <f t="shared" si="178"/>
        <v>0</v>
      </c>
      <c r="K291" s="73">
        <f t="shared" si="178"/>
        <v>0</v>
      </c>
      <c r="L291" s="73">
        <f t="shared" si="178"/>
        <v>0</v>
      </c>
      <c r="M291" s="73">
        <f t="shared" si="178"/>
        <v>0</v>
      </c>
      <c r="N291" s="73">
        <f t="shared" si="178"/>
        <v>0</v>
      </c>
    </row>
    <row r="292" spans="2:14">
      <c r="B292" s="16" t="s">
        <v>86</v>
      </c>
      <c r="D292" s="73">
        <f t="shared" ref="D292:N292" si="179">IF(D$275&lt;=$C285+$D287,0,IF(D$275&gt;$C285+$D289,0,-$D286/$D288))</f>
        <v>0</v>
      </c>
      <c r="E292" s="73">
        <f t="shared" si="179"/>
        <v>-334588.79998223175</v>
      </c>
      <c r="F292" s="73">
        <f t="shared" si="179"/>
        <v>-334588.79998223175</v>
      </c>
      <c r="G292" s="73">
        <f t="shared" si="179"/>
        <v>-334588.79998223175</v>
      </c>
      <c r="H292" s="73">
        <f t="shared" si="179"/>
        <v>-334588.79998223175</v>
      </c>
      <c r="I292" s="73">
        <f t="shared" si="179"/>
        <v>-334588.79998223175</v>
      </c>
      <c r="J292" s="73">
        <f t="shared" si="179"/>
        <v>0</v>
      </c>
      <c r="K292" s="73">
        <f t="shared" si="179"/>
        <v>0</v>
      </c>
      <c r="L292" s="73">
        <f t="shared" si="179"/>
        <v>0</v>
      </c>
      <c r="M292" s="73">
        <f t="shared" si="179"/>
        <v>0</v>
      </c>
      <c r="N292" s="73">
        <f t="shared" si="179"/>
        <v>0</v>
      </c>
    </row>
    <row r="293" spans="2:14">
      <c r="B293" s="16" t="s">
        <v>87</v>
      </c>
      <c r="D293" s="73">
        <f t="shared" ref="D293:N293" si="180">-C291*D295</f>
        <v>0</v>
      </c>
      <c r="E293" s="73">
        <f t="shared" si="180"/>
        <v>-292804.59555791889</v>
      </c>
      <c r="F293" s="73">
        <f t="shared" si="180"/>
        <v>-184799.46856783101</v>
      </c>
      <c r="G293" s="73">
        <f t="shared" si="180"/>
        <v>-129928.47071681001</v>
      </c>
      <c r="H293" s="73">
        <f t="shared" si="180"/>
        <v>-85968.69824914803</v>
      </c>
      <c r="I293" s="73">
        <f t="shared" si="180"/>
        <v>-42984.349124574008</v>
      </c>
      <c r="J293" s="73">
        <f t="shared" si="180"/>
        <v>0</v>
      </c>
      <c r="K293" s="73">
        <f t="shared" si="180"/>
        <v>0</v>
      </c>
      <c r="L293" s="73">
        <f t="shared" si="180"/>
        <v>0</v>
      </c>
      <c r="M293" s="73">
        <f t="shared" si="180"/>
        <v>0</v>
      </c>
      <c r="N293" s="73">
        <f t="shared" si="180"/>
        <v>0</v>
      </c>
    </row>
    <row r="295" spans="2:14">
      <c r="B295" s="16" t="s">
        <v>95</v>
      </c>
      <c r="D295" s="93">
        <f>Macro!C52</f>
        <v>0.20398946459840706</v>
      </c>
      <c r="E295" s="81">
        <f>Macro!D52</f>
        <v>0.17502354865044389</v>
      </c>
      <c r="F295" s="81">
        <f>Macro!E52</f>
        <v>0.13807953865882894</v>
      </c>
      <c r="G295" s="81">
        <f>Macro!F52</f>
        <v>0.12944094435090658</v>
      </c>
      <c r="H295" s="81">
        <f>Macro!G52</f>
        <v>0.12846918105703686</v>
      </c>
      <c r="I295" s="81">
        <f>Macro!H52</f>
        <v>0.12846918105703686</v>
      </c>
      <c r="J295" s="81">
        <f>Macro!I52</f>
        <v>0.12846918105703686</v>
      </c>
      <c r="K295" s="81">
        <f>Macro!J52</f>
        <v>0.12846918105703686</v>
      </c>
      <c r="L295" s="81">
        <f>Macro!K52</f>
        <v>0.12846918105703686</v>
      </c>
      <c r="M295" s="81">
        <f>Macro!L52</f>
        <v>0.12846918105703686</v>
      </c>
      <c r="N295" s="81">
        <f>Macro!M52</f>
        <v>0.12846918105703686</v>
      </c>
    </row>
    <row r="297" spans="2:14">
      <c r="B297" s="21" t="str">
        <f>"Crédito "&amp;C298</f>
        <v>Crédito 2024</v>
      </c>
    </row>
    <row r="298" spans="2:14">
      <c r="B298" s="16" t="s">
        <v>89</v>
      </c>
      <c r="C298" s="16">
        <f>E275</f>
        <v>2024</v>
      </c>
    </row>
    <row r="299" spans="2:14">
      <c r="B299" s="16" t="s">
        <v>90</v>
      </c>
      <c r="D299" s="73">
        <f>E$268</f>
        <v>0</v>
      </c>
    </row>
    <row r="300" spans="2:14">
      <c r="B300" s="16" t="s">
        <v>91</v>
      </c>
      <c r="D300" s="92">
        <v>0</v>
      </c>
    </row>
    <row r="301" spans="2:14">
      <c r="B301" s="16" t="s">
        <v>92</v>
      </c>
      <c r="D301" s="92">
        <v>5</v>
      </c>
    </row>
    <row r="302" spans="2:14">
      <c r="B302" s="16" t="s">
        <v>93</v>
      </c>
      <c r="D302" s="72">
        <f>D301+D300</f>
        <v>5</v>
      </c>
    </row>
    <row r="303" spans="2:14">
      <c r="B303" s="16" t="s">
        <v>94</v>
      </c>
      <c r="D303" s="73">
        <f t="shared" ref="D303:N303" si="181">IF(D$275=$C298,$D299,0)</f>
        <v>0</v>
      </c>
      <c r="E303" s="73">
        <f t="shared" si="181"/>
        <v>0</v>
      </c>
      <c r="F303" s="73">
        <f t="shared" si="181"/>
        <v>0</v>
      </c>
      <c r="G303" s="73">
        <f t="shared" si="181"/>
        <v>0</v>
      </c>
      <c r="H303" s="73">
        <f t="shared" si="181"/>
        <v>0</v>
      </c>
      <c r="I303" s="73">
        <f t="shared" si="181"/>
        <v>0</v>
      </c>
      <c r="J303" s="73">
        <f t="shared" si="181"/>
        <v>0</v>
      </c>
      <c r="K303" s="73">
        <f t="shared" si="181"/>
        <v>0</v>
      </c>
      <c r="L303" s="73">
        <f t="shared" si="181"/>
        <v>0</v>
      </c>
      <c r="M303" s="73">
        <f t="shared" si="181"/>
        <v>0</v>
      </c>
      <c r="N303" s="73">
        <f t="shared" si="181"/>
        <v>0</v>
      </c>
    </row>
    <row r="304" spans="2:14">
      <c r="B304" s="16" t="s">
        <v>85</v>
      </c>
      <c r="D304" s="73">
        <f t="shared" ref="D304:N304" si="182">C304+D303+D305</f>
        <v>0</v>
      </c>
      <c r="E304" s="73">
        <f t="shared" si="182"/>
        <v>0</v>
      </c>
      <c r="F304" s="73">
        <f t="shared" si="182"/>
        <v>0</v>
      </c>
      <c r="G304" s="73">
        <f t="shared" si="182"/>
        <v>0</v>
      </c>
      <c r="H304" s="73">
        <f t="shared" si="182"/>
        <v>0</v>
      </c>
      <c r="I304" s="73">
        <f t="shared" si="182"/>
        <v>0</v>
      </c>
      <c r="J304" s="73">
        <f t="shared" si="182"/>
        <v>0</v>
      </c>
      <c r="K304" s="73">
        <f t="shared" si="182"/>
        <v>0</v>
      </c>
      <c r="L304" s="73">
        <f t="shared" si="182"/>
        <v>0</v>
      </c>
      <c r="M304" s="73">
        <f t="shared" si="182"/>
        <v>0</v>
      </c>
      <c r="N304" s="73">
        <f t="shared" si="182"/>
        <v>0</v>
      </c>
    </row>
    <row r="305" spans="2:14">
      <c r="B305" s="16" t="s">
        <v>86</v>
      </c>
      <c r="D305" s="73">
        <f t="shared" ref="D305:N305" si="183">IF(D$275&lt;=$C298+$D300,0,IF(D$275&gt;$C298+$D302,0,-$D299/$D301))</f>
        <v>0</v>
      </c>
      <c r="E305" s="73">
        <f t="shared" si="183"/>
        <v>0</v>
      </c>
      <c r="F305" s="73">
        <f t="shared" si="183"/>
        <v>0</v>
      </c>
      <c r="G305" s="73">
        <f t="shared" si="183"/>
        <v>0</v>
      </c>
      <c r="H305" s="73">
        <f t="shared" si="183"/>
        <v>0</v>
      </c>
      <c r="I305" s="73">
        <f t="shared" si="183"/>
        <v>0</v>
      </c>
      <c r="J305" s="73">
        <f t="shared" si="183"/>
        <v>0</v>
      </c>
      <c r="K305" s="73">
        <f t="shared" si="183"/>
        <v>0</v>
      </c>
      <c r="L305" s="73">
        <f t="shared" si="183"/>
        <v>0</v>
      </c>
      <c r="M305" s="73">
        <f t="shared" si="183"/>
        <v>0</v>
      </c>
      <c r="N305" s="73">
        <f t="shared" si="183"/>
        <v>0</v>
      </c>
    </row>
    <row r="306" spans="2:14">
      <c r="B306" s="16" t="s">
        <v>87</v>
      </c>
      <c r="D306" s="73">
        <f>-D308*D304</f>
        <v>0</v>
      </c>
      <c r="E306" s="73">
        <f>-E308*E304</f>
        <v>0</v>
      </c>
      <c r="F306" s="73">
        <f>-E304*F308</f>
        <v>0</v>
      </c>
      <c r="G306" s="73">
        <f>-F304*G308</f>
        <v>0</v>
      </c>
      <c r="H306" s="73">
        <f>-G304*H308</f>
        <v>0</v>
      </c>
      <c r="I306" s="73">
        <f>-H304*I308</f>
        <v>0</v>
      </c>
      <c r="J306" s="73">
        <f>-I304*J308</f>
        <v>0</v>
      </c>
      <c r="K306" s="73">
        <f>-K308*K304</f>
        <v>0</v>
      </c>
      <c r="L306" s="73">
        <f>-L308*L304</f>
        <v>0</v>
      </c>
      <c r="M306" s="73">
        <f>-M308*M304</f>
        <v>0</v>
      </c>
      <c r="N306" s="73">
        <f>-N308*N304</f>
        <v>0</v>
      </c>
    </row>
    <row r="308" spans="2:14">
      <c r="B308" s="16" t="s">
        <v>95</v>
      </c>
      <c r="D308" s="81">
        <f t="shared" ref="D308:N308" si="184">D295</f>
        <v>0.20398946459840706</v>
      </c>
      <c r="E308" s="81">
        <f t="shared" si="184"/>
        <v>0.17502354865044389</v>
      </c>
      <c r="F308" s="81">
        <f t="shared" si="184"/>
        <v>0.13807953865882894</v>
      </c>
      <c r="G308" s="81">
        <f t="shared" si="184"/>
        <v>0.12944094435090658</v>
      </c>
      <c r="H308" s="81">
        <f t="shared" si="184"/>
        <v>0.12846918105703686</v>
      </c>
      <c r="I308" s="81">
        <f t="shared" si="184"/>
        <v>0.12846918105703686</v>
      </c>
      <c r="J308" s="81">
        <f t="shared" si="184"/>
        <v>0.12846918105703686</v>
      </c>
      <c r="K308" s="81">
        <f t="shared" si="184"/>
        <v>0.12846918105703686</v>
      </c>
      <c r="L308" s="81">
        <f t="shared" si="184"/>
        <v>0.12846918105703686</v>
      </c>
      <c r="M308" s="81">
        <f t="shared" si="184"/>
        <v>0.12846918105703686</v>
      </c>
      <c r="N308" s="81">
        <f t="shared" si="184"/>
        <v>0.12846918105703686</v>
      </c>
    </row>
  </sheetData>
  <mergeCells count="3">
    <mergeCell ref="B6:N6"/>
    <mergeCell ref="B7:N7"/>
    <mergeCell ref="B8:N8"/>
  </mergeCells>
  <pageMargins left="0.7" right="0.7" top="0.75" bottom="0.75" header="0.51180555555555496" footer="0.51180555555555496"/>
  <pageSetup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Macro!$B$30:$B$33</xm:f>
          </x14:formula1>
          <x14:formula2>
            <xm:f>0</xm:f>
          </x14:formula2>
          <xm:sqref>D2:D3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zoomScalePageLayoutView="60" workbookViewId="0"/>
  </sheetViews>
  <sheetFormatPr baseColWidth="10" defaultColWidth="10.7109375" defaultRowHeight="15"/>
  <cols>
    <col min="1" max="1" width="29.42578125" customWidth="1"/>
    <col min="2" max="2" width="10.28515625" customWidth="1"/>
    <col min="3" max="3" width="5.7109375" customWidth="1"/>
    <col min="4" max="4" width="7.7109375" customWidth="1"/>
    <col min="5" max="5" width="5" customWidth="1"/>
    <col min="6" max="6" width="7" customWidth="1"/>
    <col min="7" max="7" width="7.7109375" customWidth="1"/>
    <col min="8" max="8" width="13.85546875" customWidth="1"/>
    <col min="9" max="13" width="4.140625" customWidth="1"/>
  </cols>
  <sheetData>
    <row r="1" spans="1:13">
      <c r="A1" t="s">
        <v>1</v>
      </c>
    </row>
    <row r="2" spans="1:13">
      <c r="A2" t="s">
        <v>649</v>
      </c>
      <c r="C2" s="505">
        <v>0.4</v>
      </c>
    </row>
    <row r="3" spans="1:13">
      <c r="A3" t="s">
        <v>650</v>
      </c>
      <c r="C3" s="505">
        <v>0.25</v>
      </c>
    </row>
    <row r="4" spans="1:13">
      <c r="C4" s="505"/>
    </row>
    <row r="5" spans="1:13">
      <c r="C5" s="506" t="s">
        <v>212</v>
      </c>
      <c r="D5" s="506" t="s">
        <v>651</v>
      </c>
      <c r="E5" s="506" t="s">
        <v>652</v>
      </c>
      <c r="F5" s="506" t="s">
        <v>653</v>
      </c>
      <c r="G5" s="506" t="s">
        <v>213</v>
      </c>
      <c r="H5" s="506" t="s">
        <v>654</v>
      </c>
    </row>
    <row r="6" spans="1:13">
      <c r="A6" t="s">
        <v>655</v>
      </c>
      <c r="C6" s="193">
        <f>(121007+31086+9070)</f>
        <v>161163</v>
      </c>
      <c r="D6" s="193">
        <v>7</v>
      </c>
      <c r="E6" s="193">
        <f>C6*19%</f>
        <v>30620.97</v>
      </c>
      <c r="F6" s="193">
        <f>(C6+E6)*D6</f>
        <v>1342487.79</v>
      </c>
      <c r="G6" s="193">
        <f>F6*Ppto!D17/1000</f>
        <v>6131947.2296040012</v>
      </c>
      <c r="H6" s="193">
        <f>G6*(1-$C$2)</f>
        <v>3679168.3377624005</v>
      </c>
    </row>
    <row r="7" spans="1:13">
      <c r="A7" t="s">
        <v>656</v>
      </c>
      <c r="C7" s="193">
        <v>3193</v>
      </c>
      <c r="D7" s="193">
        <v>5</v>
      </c>
      <c r="E7" s="193">
        <f>C7*19%</f>
        <v>606.66999999999996</v>
      </c>
      <c r="F7" s="193">
        <f>C7+E7</f>
        <v>3799.67</v>
      </c>
      <c r="G7" s="193">
        <f>F7*Ppto!D17*D7*(1-C2)</f>
        <v>52066118.076000005</v>
      </c>
      <c r="H7" s="193">
        <f>221437+G7/1000</f>
        <v>273503.11807600001</v>
      </c>
    </row>
    <row r="8" spans="1:13">
      <c r="A8" t="s">
        <v>71</v>
      </c>
      <c r="C8" s="193">
        <f>10448+3000</f>
        <v>13448</v>
      </c>
      <c r="D8" s="193">
        <v>1</v>
      </c>
      <c r="E8" s="193">
        <f>C8*19%</f>
        <v>2555.12</v>
      </c>
      <c r="F8" s="193">
        <f>C8+E8</f>
        <v>16003.119999999999</v>
      </c>
      <c r="G8" s="193">
        <f>F8*Ppto!D17/1000</f>
        <v>73095.850911999994</v>
      </c>
      <c r="H8" s="193">
        <f>G8*(1-$C$2)</f>
        <v>43857.510547199992</v>
      </c>
    </row>
    <row r="9" spans="1:13">
      <c r="A9" t="s">
        <v>69</v>
      </c>
      <c r="C9" s="193">
        <v>43485</v>
      </c>
      <c r="D9" s="193">
        <v>1</v>
      </c>
      <c r="E9" s="193">
        <f>C9*19%</f>
        <v>8262.15</v>
      </c>
      <c r="F9" s="193">
        <f>C9+E9</f>
        <v>51747.15</v>
      </c>
      <c r="G9" s="193">
        <f>F9*Ppto!D17/1000</f>
        <v>236360.28234000003</v>
      </c>
      <c r="H9" s="193">
        <f>G9*(1-$C$2)</f>
        <v>141816.16940400001</v>
      </c>
    </row>
    <row r="10" spans="1:13">
      <c r="D10" s="507"/>
      <c r="E10" s="507"/>
      <c r="F10" s="507"/>
      <c r="G10" s="507"/>
      <c r="H10" s="507"/>
    </row>
    <row r="11" spans="1:13">
      <c r="A11" t="s">
        <v>657</v>
      </c>
      <c r="D11" s="193">
        <f>(509+917)*4/10</f>
        <v>570.4</v>
      </c>
      <c r="E11" s="193"/>
      <c r="F11" s="193"/>
      <c r="G11" s="193">
        <f>D11*G13</f>
        <v>617.8610919831998</v>
      </c>
      <c r="H11" s="193"/>
      <c r="I11" s="193"/>
      <c r="J11" s="508">
        <f>D11*J13</f>
        <v>669.27126400187956</v>
      </c>
      <c r="K11" s="193"/>
      <c r="L11" s="193">
        <v>0</v>
      </c>
      <c r="M11" s="508">
        <f>D11*M13</f>
        <v>724.95910590669303</v>
      </c>
    </row>
    <row r="12" spans="1:13">
      <c r="D12" s="193">
        <f>D11*Ppto!D17/1000</f>
        <v>2605.3590399999998</v>
      </c>
      <c r="E12" s="193">
        <f>E11*Ppto!E17/1000</f>
        <v>0</v>
      </c>
      <c r="F12" s="193">
        <f>F11*Ppto!F17/1000</f>
        <v>0</v>
      </c>
      <c r="G12" s="193">
        <f>G11*Ppto!G17/1000</f>
        <v>2704.6095427086843</v>
      </c>
      <c r="H12" s="193">
        <f>H11*Ppto!H17/1000</f>
        <v>0</v>
      </c>
      <c r="I12" s="193">
        <f>I11*Ppto!I17/1000</f>
        <v>0</v>
      </c>
      <c r="J12" s="193">
        <f>J11*Ppto!J17/1000</f>
        <v>3169.7827682415877</v>
      </c>
      <c r="K12" s="193">
        <f>K11*Ppto!K17/1000</f>
        <v>0</v>
      </c>
      <c r="L12" s="193">
        <f>L11*Ppto!L17/1000</f>
        <v>0</v>
      </c>
      <c r="M12" s="193">
        <f>M11*Ppto!M17/1000</f>
        <v>3686.7246341957857</v>
      </c>
    </row>
    <row r="13" spans="1:13">
      <c r="A13" t="s">
        <v>658</v>
      </c>
      <c r="D13" s="509">
        <v>1</v>
      </c>
      <c r="E13" s="509">
        <f>D13*(1+Ppto!E14)</f>
        <v>1.0269999999999999</v>
      </c>
      <c r="F13" s="509">
        <f>E13*(1+Ppto!F14)</f>
        <v>1.0547289999999998</v>
      </c>
      <c r="G13" s="509">
        <f>F13*(1+Ppto!G14)</f>
        <v>1.0832066829999998</v>
      </c>
      <c r="H13" s="509">
        <f>G13*(1+Ppto!H14)</f>
        <v>1.1124532634409996</v>
      </c>
      <c r="I13" s="509">
        <f>H13*(1+Ppto!I14)</f>
        <v>1.1424895015539065</v>
      </c>
      <c r="J13" s="509">
        <f>I13*(1+Ppto!J14)</f>
        <v>1.1733367180958618</v>
      </c>
      <c r="K13" s="509">
        <f>J13*(1+Ppto!K14)</f>
        <v>1.20501680948445</v>
      </c>
      <c r="L13" s="509">
        <f>K13*(1+Ppto!L14)</f>
        <v>1.23755226334053</v>
      </c>
      <c r="M13" s="509">
        <f>L13*(1+Ppto!M14)</f>
        <v>1.2709661744507241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1"/>
  <sheetViews>
    <sheetView zoomScaleNormal="100" zoomScalePageLayoutView="60" workbookViewId="0"/>
  </sheetViews>
  <sheetFormatPr baseColWidth="10" defaultColWidth="10.7109375" defaultRowHeight="15"/>
  <cols>
    <col min="1" max="1" width="26.42578125" customWidth="1"/>
    <col min="2" max="2" width="7.7109375" customWidth="1"/>
    <col min="3" max="3" width="5.7109375" customWidth="1"/>
    <col min="4" max="13" width="6.7109375" customWidth="1"/>
  </cols>
  <sheetData>
    <row r="1" spans="1:13" s="510" customFormat="1">
      <c r="C1" s="511">
        <v>2023</v>
      </c>
      <c r="D1" s="511">
        <v>2024</v>
      </c>
      <c r="E1" s="511">
        <v>2025</v>
      </c>
      <c r="F1" s="511">
        <v>2026</v>
      </c>
      <c r="G1" s="511">
        <v>2027</v>
      </c>
      <c r="H1" s="511">
        <v>2028</v>
      </c>
      <c r="I1" s="511">
        <v>2029</v>
      </c>
      <c r="J1" s="511">
        <v>2030</v>
      </c>
      <c r="K1" s="511">
        <v>2031</v>
      </c>
      <c r="L1" s="511">
        <v>2032</v>
      </c>
      <c r="M1" s="511">
        <v>2033</v>
      </c>
    </row>
    <row r="2" spans="1:13">
      <c r="A2" s="533" t="s">
        <v>15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</row>
    <row r="3" spans="1:13"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</row>
    <row r="4" spans="1:13">
      <c r="A4" t="s">
        <v>32</v>
      </c>
      <c r="D4" s="506" t="s">
        <v>659</v>
      </c>
      <c r="E4" s="506" t="s">
        <v>660</v>
      </c>
      <c r="F4" s="506" t="s">
        <v>659</v>
      </c>
      <c r="G4" s="506" t="s">
        <v>661</v>
      </c>
      <c r="H4" s="506" t="s">
        <v>659</v>
      </c>
      <c r="I4" s="506" t="s">
        <v>660</v>
      </c>
      <c r="J4" s="506" t="s">
        <v>659</v>
      </c>
      <c r="K4" s="506" t="s">
        <v>661</v>
      </c>
      <c r="L4" s="506" t="s">
        <v>659</v>
      </c>
      <c r="M4" s="506" t="s">
        <v>660</v>
      </c>
    </row>
    <row r="5" spans="1:13">
      <c r="A5" t="s">
        <v>662</v>
      </c>
      <c r="D5" s="506">
        <v>5293</v>
      </c>
      <c r="E5" s="506">
        <v>5541</v>
      </c>
      <c r="F5" s="506">
        <v>5293</v>
      </c>
      <c r="G5" s="506">
        <v>7932</v>
      </c>
      <c r="H5" s="506">
        <v>5293</v>
      </c>
      <c r="I5" s="506">
        <v>5541</v>
      </c>
      <c r="J5" s="506">
        <v>5293</v>
      </c>
      <c r="K5" s="506">
        <v>7932</v>
      </c>
      <c r="L5" s="506">
        <v>5293</v>
      </c>
      <c r="M5" s="506">
        <v>5541</v>
      </c>
    </row>
    <row r="6" spans="1:13">
      <c r="D6" s="506"/>
      <c r="E6" s="506"/>
      <c r="F6" s="506"/>
      <c r="G6" s="506"/>
      <c r="H6" s="506"/>
      <c r="I6" s="506"/>
      <c r="J6" s="506"/>
      <c r="K6" s="506"/>
      <c r="L6" s="506"/>
      <c r="M6" s="506"/>
    </row>
    <row r="7" spans="1:13">
      <c r="A7" t="s">
        <v>33</v>
      </c>
    </row>
    <row r="8" spans="1:13">
      <c r="A8" t="s">
        <v>662</v>
      </c>
      <c r="D8">
        <v>2032</v>
      </c>
      <c r="E8">
        <v>2032</v>
      </c>
      <c r="F8">
        <v>2032</v>
      </c>
      <c r="G8">
        <v>2032</v>
      </c>
      <c r="H8">
        <v>2032</v>
      </c>
      <c r="I8">
        <v>2032</v>
      </c>
      <c r="J8">
        <v>2032</v>
      </c>
      <c r="K8">
        <v>2032</v>
      </c>
      <c r="L8">
        <v>2032</v>
      </c>
      <c r="M8">
        <v>2032</v>
      </c>
    </row>
    <row r="10" spans="1:13">
      <c r="A10" t="s">
        <v>663</v>
      </c>
    </row>
    <row r="11" spans="1:13">
      <c r="A11" t="s">
        <v>662</v>
      </c>
      <c r="D11">
        <v>1144</v>
      </c>
      <c r="E11">
        <v>1144</v>
      </c>
      <c r="F11">
        <v>1144</v>
      </c>
      <c r="G11">
        <v>1144</v>
      </c>
      <c r="H11">
        <v>1144</v>
      </c>
      <c r="I11">
        <v>1144</v>
      </c>
      <c r="J11">
        <v>1144</v>
      </c>
      <c r="K11">
        <v>1144</v>
      </c>
      <c r="L11">
        <v>1144</v>
      </c>
      <c r="M11">
        <v>1144</v>
      </c>
    </row>
    <row r="13" spans="1:13">
      <c r="A13" t="s">
        <v>664</v>
      </c>
    </row>
    <row r="14" spans="1:13">
      <c r="A14" t="s">
        <v>662</v>
      </c>
      <c r="D14">
        <v>1091</v>
      </c>
      <c r="E14">
        <v>1091</v>
      </c>
      <c r="F14">
        <v>1091</v>
      </c>
      <c r="G14">
        <v>1091</v>
      </c>
      <c r="H14">
        <v>1091</v>
      </c>
      <c r="I14">
        <v>1091</v>
      </c>
      <c r="J14">
        <v>1091</v>
      </c>
      <c r="K14">
        <v>1091</v>
      </c>
      <c r="L14">
        <v>1091</v>
      </c>
      <c r="M14">
        <v>1091</v>
      </c>
    </row>
    <row r="16" spans="1:13">
      <c r="A16" t="s">
        <v>658</v>
      </c>
      <c r="C16" s="509">
        <v>1</v>
      </c>
      <c r="D16" s="509">
        <f>C16*(1+Ppto!D14)</f>
        <v>1.1316999999999999</v>
      </c>
      <c r="E16" s="509">
        <f>D16*(1+Ppto!E14)</f>
        <v>1.1622558999999999</v>
      </c>
      <c r="F16" s="509">
        <f>E16*(1+Ppto!F14)</f>
        <v>1.1936368092999998</v>
      </c>
      <c r="G16" s="509">
        <f>F16*(1+Ppto!G14)</f>
        <v>1.2258650031510998</v>
      </c>
      <c r="H16" s="509">
        <f>G16*(1+Ppto!H14)</f>
        <v>1.2589633582361794</v>
      </c>
      <c r="I16" s="509">
        <f>H16*(1+Ppto!I14)</f>
        <v>1.2929553689085562</v>
      </c>
      <c r="J16" s="509">
        <f>I16*(1+Ppto!J14)</f>
        <v>1.327865163869087</v>
      </c>
      <c r="K16" s="509">
        <f>J16*(1+Ppto!K14)</f>
        <v>1.3637175232935523</v>
      </c>
      <c r="L16" s="509">
        <f>K16*(1+Ppto!L14)</f>
        <v>1.4005378964224782</v>
      </c>
      <c r="M16" s="509">
        <f>L16*(1+Ppto!M14)</f>
        <v>1.438352419625885</v>
      </c>
    </row>
    <row r="18" spans="1:13">
      <c r="C18">
        <f>(C5+C8+C11)*'Costo de Equipos'!$D$6+C14*'Costo de Equipos'!$D$7</f>
        <v>0</v>
      </c>
      <c r="D18">
        <f>(D5+D8+D11)*'Costo de Equipos'!$D$6+D14*'Costo de Equipos'!$D$7</f>
        <v>64738</v>
      </c>
      <c r="E18">
        <f>(E5+E8+E11)*'Costo de Equipos'!$D$6+E14*'Costo de Equipos'!$D$7</f>
        <v>66474</v>
      </c>
      <c r="F18">
        <f>(F5+F8+F11)*'Costo de Equipos'!$D$6+F14*'Costo de Equipos'!$D$7</f>
        <v>64738</v>
      </c>
      <c r="G18">
        <f>(G5+G8+G11)*'Costo de Equipos'!$D$6+G14*'Costo de Equipos'!$D$7</f>
        <v>83211</v>
      </c>
      <c r="H18">
        <f>(H5+H8+H11)*'Costo de Equipos'!$D$6+H14*'Costo de Equipos'!$D$7</f>
        <v>64738</v>
      </c>
      <c r="I18">
        <f>(I5+I8+I11)*'Costo de Equipos'!$D$6+I14*'Costo de Equipos'!$D$7</f>
        <v>66474</v>
      </c>
      <c r="J18">
        <f>(J5+J8+J11)*'Costo de Equipos'!$D$6+J14*'Costo de Equipos'!$D$7</f>
        <v>64738</v>
      </c>
      <c r="K18">
        <f>(K5+K8+K11)*'Costo de Equipos'!$D$6+K14*'Costo de Equipos'!$D$7</f>
        <v>83211</v>
      </c>
      <c r="L18">
        <f>(L5+L8+L11)*'Costo de Equipos'!$D$6+L14*'Costo de Equipos'!$D$7</f>
        <v>64738</v>
      </c>
      <c r="M18">
        <f>(M5+M8+M11)*'Costo de Equipos'!$D$6+M14*'Costo de Equipos'!$D$7</f>
        <v>66474</v>
      </c>
    </row>
    <row r="20" spans="1:13">
      <c r="A20" t="s">
        <v>665</v>
      </c>
      <c r="C20" s="507">
        <f t="shared" ref="C20:M20" si="0">C18*C16</f>
        <v>0</v>
      </c>
      <c r="D20" s="507">
        <f t="shared" si="0"/>
        <v>73263.994599999991</v>
      </c>
      <c r="E20" s="507">
        <f t="shared" si="0"/>
        <v>77259.798696599988</v>
      </c>
      <c r="F20" s="507">
        <f t="shared" si="0"/>
        <v>77273.659760463386</v>
      </c>
      <c r="G20" s="507">
        <f t="shared" si="0"/>
        <v>102005.45277720617</v>
      </c>
      <c r="H20" s="507">
        <f t="shared" si="0"/>
        <v>81502.769885493792</v>
      </c>
      <c r="I20" s="507">
        <f t="shared" si="0"/>
        <v>85947.915192827364</v>
      </c>
      <c r="J20" s="507">
        <f t="shared" si="0"/>
        <v>85963.334978556959</v>
      </c>
      <c r="K20" s="507">
        <f t="shared" si="0"/>
        <v>113476.29883077978</v>
      </c>
      <c r="L20" s="507">
        <f t="shared" si="0"/>
        <v>90668.022338598385</v>
      </c>
      <c r="M20" s="507">
        <f t="shared" si="0"/>
        <v>95613.03874221108</v>
      </c>
    </row>
    <row r="22" spans="1:13">
      <c r="A22" t="s">
        <v>666</v>
      </c>
      <c r="C22" s="507">
        <f>C20*(1-'Costo de Equipos'!$C$2)</f>
        <v>0</v>
      </c>
      <c r="D22" s="507">
        <f>D20*(1-'Costo de Equipos'!$C$2)</f>
        <v>43958.396759999996</v>
      </c>
      <c r="E22" s="507">
        <f>E20*(1-'Costo de Equipos'!$C$2)</f>
        <v>46355.879217959991</v>
      </c>
      <c r="F22" s="507">
        <f>F20*(1-'Costo de Equipos'!$C$2)</f>
        <v>46364.195856278027</v>
      </c>
      <c r="G22" s="507">
        <f>G20*(1-'Costo de Equipos'!$C$2)</f>
        <v>61203.271666323701</v>
      </c>
      <c r="H22" s="507">
        <f>H20*(1-'Costo de Equipos'!$C$2)</f>
        <v>48901.661931296272</v>
      </c>
      <c r="I22" s="507">
        <f>I20*(1-'Costo de Equipos'!$C$2)</f>
        <v>51568.749115696417</v>
      </c>
      <c r="J22" s="507">
        <f>J20*(1-'Costo de Equipos'!$C$2)</f>
        <v>51578.000987134175</v>
      </c>
      <c r="K22" s="507">
        <f>K20*(1-'Costo de Equipos'!$C$2)</f>
        <v>68085.779298467867</v>
      </c>
      <c r="L22" s="507">
        <f>L20*(1-'Costo de Equipos'!$C$2)</f>
        <v>54400.813403159031</v>
      </c>
      <c r="M22" s="507">
        <f>M20*(1-'Costo de Equipos'!$C$2)</f>
        <v>57367.823245326646</v>
      </c>
    </row>
    <row r="24" spans="1:13">
      <c r="A24" t="s">
        <v>667</v>
      </c>
      <c r="C24" s="507">
        <f>C22*Ppto!D17/1000</f>
        <v>0</v>
      </c>
      <c r="D24" s="507">
        <f>D22*Ppto!E17/1000</f>
        <v>188314.60671527326</v>
      </c>
      <c r="E24" s="507">
        <f>E22*Ppto!F17/1000</f>
        <v>197758.81336496287</v>
      </c>
      <c r="F24" s="507">
        <f>F22*Ppto!G17/1000</f>
        <v>202953.46021936214</v>
      </c>
      <c r="G24" s="507">
        <f>G22*Ppto!H17/1000</f>
        <v>276440.73992241645</v>
      </c>
      <c r="H24" s="507">
        <f>H22*Ppto!I17/1000</f>
        <v>226178.32526632099</v>
      </c>
      <c r="I24" s="507">
        <f>I22*Ppto!J17/1000</f>
        <v>244238.38452183871</v>
      </c>
      <c r="J24" s="507">
        <f>J22*Ppto!K17/1000</f>
        <v>250144.97583281883</v>
      </c>
      <c r="K24" s="507">
        <f>K22*Ppto!L17/1000</f>
        <v>338129.95576033229</v>
      </c>
      <c r="L24" s="507">
        <f>L22*Ppto!M17/1000</f>
        <v>276651.21695778542</v>
      </c>
      <c r="M24" s="507">
        <f>M22*Ppto!N17/1000</f>
        <v>298741.47412758984</v>
      </c>
    </row>
    <row r="28" spans="1:13">
      <c r="A28" t="s">
        <v>50</v>
      </c>
      <c r="C28" s="507">
        <v>0</v>
      </c>
      <c r="D28" s="507">
        <v>10579</v>
      </c>
      <c r="E28" s="507">
        <f>D28*(1+Ppto!E23)</f>
        <v>11954.269999999999</v>
      </c>
      <c r="F28" s="507">
        <f>E28*(1+Ppto!F23)</f>
        <v>12910.6116</v>
      </c>
      <c r="G28" s="507">
        <f>F28*(1+Ppto!G23)</f>
        <v>13685.248296000002</v>
      </c>
      <c r="H28" s="507">
        <f>G28*(1+Ppto!H23)</f>
        <v>14506.363193760002</v>
      </c>
      <c r="I28" s="507">
        <f>H28*(1+Ppto!I23)</f>
        <v>15376.744985385603</v>
      </c>
      <c r="J28" s="507">
        <f>I28*(1+Ppto!J23)</f>
        <v>16299.349684508741</v>
      </c>
      <c r="K28" s="507">
        <f>J28*(1+Ppto!K23)</f>
        <v>17277.310665579265</v>
      </c>
      <c r="L28" s="507">
        <f>K28*(1+Ppto!L23)</f>
        <v>18313.949305514023</v>
      </c>
      <c r="M28" s="507">
        <f>L28*(1+Ppto!M23)</f>
        <v>19412.786263844864</v>
      </c>
    </row>
    <row r="29" spans="1:13">
      <c r="A29" t="s">
        <v>51</v>
      </c>
      <c r="C29" s="507">
        <v>0</v>
      </c>
      <c r="D29" s="507">
        <v>331</v>
      </c>
      <c r="E29" s="507">
        <f>+D29*(1+Ppto!E12)</f>
        <v>354.17</v>
      </c>
      <c r="F29" s="507">
        <f>+E29*(1+Ppto!F12)</f>
        <v>371.87850000000003</v>
      </c>
      <c r="G29" s="507">
        <f>+F29*(1+Ppto!G12)</f>
        <v>386.75364000000002</v>
      </c>
      <c r="H29" s="507">
        <f>+G29*(1+Ppto!H12)</f>
        <v>402.22378560000004</v>
      </c>
      <c r="I29" s="507">
        <f>+H29*(1+Ppto!I12)</f>
        <v>418.31273702400006</v>
      </c>
      <c r="J29" s="507">
        <f>+I29*(1+Ppto!J12)</f>
        <v>435.04524650496006</v>
      </c>
      <c r="K29" s="507">
        <f>+J29*(1+Ppto!K12)</f>
        <v>452.44705636515846</v>
      </c>
      <c r="L29" s="507">
        <f>+K29*(1+Ppto!L12)</f>
        <v>470.54493861976482</v>
      </c>
      <c r="M29" s="507">
        <f>+L29*(1+Ppto!M12)</f>
        <v>489.36673616455545</v>
      </c>
    </row>
    <row r="30" spans="1:13">
      <c r="A30" t="s">
        <v>52</v>
      </c>
      <c r="C30" s="507">
        <v>0</v>
      </c>
      <c r="D30" s="507">
        <v>2189</v>
      </c>
      <c r="E30" s="507">
        <f>D30*(1+Ppto!E12+5%)</f>
        <v>2451.6800000000003</v>
      </c>
      <c r="F30" s="507">
        <f>E30*(1+Ppto!F12+5%)</f>
        <v>2696.8480000000004</v>
      </c>
      <c r="G30" s="507">
        <f>F30*(1+Ppto!G12+5%)</f>
        <v>2939.5643200000009</v>
      </c>
      <c r="H30" s="507">
        <f>G30*(1+Ppto!H12+5%)</f>
        <v>3204.1251088000013</v>
      </c>
      <c r="I30" s="507">
        <f>H30*(1+Ppto!I12+5%)</f>
        <v>3492.4963685920015</v>
      </c>
      <c r="J30" s="507">
        <f>I30*(1+Ppto!J12+5%)</f>
        <v>3806.8210417652822</v>
      </c>
      <c r="K30" s="507">
        <f>J30*(1+Ppto!K12+5%)</f>
        <v>4149.4349355241575</v>
      </c>
      <c r="L30" s="507">
        <f>K30*(1+Ppto!L12+5%)</f>
        <v>4522.8840797213315</v>
      </c>
      <c r="M30" s="507">
        <f>L30*(1+Ppto!M12+5%)</f>
        <v>4929.9436468962522</v>
      </c>
    </row>
    <row r="31" spans="1:13">
      <c r="A31" t="s">
        <v>668</v>
      </c>
      <c r="C31" s="507">
        <v>0</v>
      </c>
      <c r="D31" s="507">
        <v>1832</v>
      </c>
      <c r="E31" s="507">
        <f>D31*(1+Ppto!E12)</f>
        <v>1960.24</v>
      </c>
      <c r="F31" s="507">
        <f>E31*(1+Ppto!F12)</f>
        <v>2058.252</v>
      </c>
      <c r="G31" s="507">
        <f>F31*(1+Ppto!G12)</f>
        <v>2140.5820800000001</v>
      </c>
      <c r="H31" s="507">
        <f>G31*(1+Ppto!H12)</f>
        <v>2226.2053632000002</v>
      </c>
      <c r="I31" s="507">
        <f>H31*(1+Ppto!I12)</f>
        <v>2315.2535777280004</v>
      </c>
      <c r="J31" s="507">
        <f>I31*(1+Ppto!J12)</f>
        <v>2407.8637208371206</v>
      </c>
      <c r="K31" s="507">
        <f>J31*(1+Ppto!K12)</f>
        <v>2504.1782696706055</v>
      </c>
      <c r="L31" s="507">
        <f>K31*(1+Ppto!L12)</f>
        <v>2604.3454004574296</v>
      </c>
      <c r="M31" s="507">
        <f>L31*(1+Ppto!M12)</f>
        <v>2708.5192164757268</v>
      </c>
    </row>
    <row r="33" spans="1:13">
      <c r="A33" t="s">
        <v>669</v>
      </c>
      <c r="C33" s="507">
        <v>0</v>
      </c>
      <c r="D33" s="507">
        <v>16927</v>
      </c>
      <c r="E33" s="507">
        <f>D33*(1+Ppto!E23)</f>
        <v>19127.509999999998</v>
      </c>
      <c r="F33" s="507">
        <f>E33*(1+Ppto!F23)</f>
        <v>20657.710800000001</v>
      </c>
      <c r="G33" s="507">
        <f>F33*(1+Ppto!G23)</f>
        <v>21897.173448000001</v>
      </c>
      <c r="H33" s="507">
        <f>G33*(1+Ppto!H23)</f>
        <v>23211.003854880004</v>
      </c>
      <c r="I33" s="507">
        <f>H33*(1+Ppto!I23)</f>
        <v>24603.664086172805</v>
      </c>
      <c r="J33" s="507">
        <f>I33*(1+Ppto!J23)</f>
        <v>26079.883931343174</v>
      </c>
      <c r="K33" s="507">
        <f>J33*(1+Ppto!K23)</f>
        <v>27644.676967223768</v>
      </c>
      <c r="L33" s="507">
        <f>K33*(1+Ppto!L23)</f>
        <v>29303.357585257196</v>
      </c>
      <c r="M33" s="507">
        <f>L33*(1+Ppto!M23)</f>
        <v>31061.559040372627</v>
      </c>
    </row>
    <row r="34" spans="1:13">
      <c r="A34" t="s">
        <v>26</v>
      </c>
      <c r="C34" s="507">
        <f>1%*EEFFs!D36</f>
        <v>41409.504948296009</v>
      </c>
      <c r="D34" s="507">
        <f>1%*EEFFs!E36</f>
        <v>37262.475282373074</v>
      </c>
      <c r="E34" s="507">
        <f>1%*EEFFs!F36</f>
        <v>33115.445616450139</v>
      </c>
      <c r="F34" s="507">
        <f>1%*EEFFs!G36</f>
        <v>28995.462045954293</v>
      </c>
      <c r="G34" s="507">
        <f>1%*EEFFs!H36</f>
        <v>24848.101545022331</v>
      </c>
      <c r="H34" s="507">
        <f>1%*EEFFs!I36</f>
        <v>20700.741044090366</v>
      </c>
      <c r="I34" s="507">
        <f>1%*EEFFs!J36</f>
        <v>16585.07837084082</v>
      </c>
      <c r="J34" s="507">
        <f>1%*EEFFs!K36</f>
        <v>12436.167292490416</v>
      </c>
      <c r="K34" s="507">
        <f>1%*EEFFs!L36</f>
        <v>8287.2562141400103</v>
      </c>
      <c r="L34" s="507">
        <f>1%*EEFFs!M36</f>
        <v>4175.2123821315636</v>
      </c>
      <c r="M34" s="507">
        <f>1%*EEFFs!N36</f>
        <v>24.578164227977396</v>
      </c>
    </row>
    <row r="35" spans="1:13">
      <c r="A35" t="s">
        <v>27</v>
      </c>
      <c r="C35" s="507">
        <v>0</v>
      </c>
      <c r="D35" s="507">
        <v>2457</v>
      </c>
      <c r="E35" s="507">
        <f>D35*(1+Ppto!E12)</f>
        <v>2628.9900000000002</v>
      </c>
      <c r="F35" s="507">
        <f>E35*(1+Ppto!F12)</f>
        <v>2760.4395000000004</v>
      </c>
      <c r="G35" s="507">
        <f>F35*(1+Ppto!G12)</f>
        <v>2870.8570800000007</v>
      </c>
      <c r="H35" s="507">
        <f>G35*(1+Ppto!H12)</f>
        <v>2985.691363200001</v>
      </c>
      <c r="I35" s="507">
        <f>H35*(1+Ppto!I12)</f>
        <v>3105.1190177280009</v>
      </c>
      <c r="J35" s="507">
        <f>I35*(1+Ppto!J12)</f>
        <v>3229.3237784371213</v>
      </c>
      <c r="K35" s="507">
        <f>J35*(1+Ppto!K12)</f>
        <v>3358.4967295746064</v>
      </c>
      <c r="L35" s="507">
        <f>K35*(1+Ppto!L12)</f>
        <v>3492.8365987575908</v>
      </c>
      <c r="M35" s="507">
        <f>L35*(1+Ppto!M12)</f>
        <v>3632.5500627078945</v>
      </c>
    </row>
    <row r="36" spans="1:13">
      <c r="A36" t="s">
        <v>28</v>
      </c>
      <c r="C36" s="507">
        <v>0</v>
      </c>
      <c r="D36" s="507">
        <v>536</v>
      </c>
      <c r="E36" s="507">
        <f>+D36*(1+Ppto!E12)</f>
        <v>573.52</v>
      </c>
      <c r="F36" s="507">
        <f>+E36*(1+Ppto!F12)</f>
        <v>602.19600000000003</v>
      </c>
      <c r="G36" s="507">
        <f>+F36*(1+Ppto!G12)</f>
        <v>626.28384000000005</v>
      </c>
      <c r="H36" s="507">
        <f>+G36*(1+Ppto!H12)</f>
        <v>651.33519360000003</v>
      </c>
      <c r="I36" s="507">
        <f>+H36*(1+Ppto!I12)</f>
        <v>677.38860134399999</v>
      </c>
      <c r="J36" s="507">
        <f>+I36*(1+Ppto!J12)</f>
        <v>704.48414539776002</v>
      </c>
      <c r="K36" s="507">
        <f>+J36*(1+Ppto!K12)</f>
        <v>732.6635112136704</v>
      </c>
      <c r="L36" s="507">
        <f>+K36*(1+Ppto!L12)</f>
        <v>761.9700516622172</v>
      </c>
      <c r="M36" s="507">
        <f>+L36*(1+Ppto!M12)</f>
        <v>792.4488537287059</v>
      </c>
    </row>
    <row r="37" spans="1:13">
      <c r="A37" t="s">
        <v>670</v>
      </c>
      <c r="C37" s="507">
        <v>0</v>
      </c>
      <c r="D37" s="507">
        <v>214</v>
      </c>
      <c r="E37" s="507">
        <f>D37*(1+Ppto!E12)</f>
        <v>228.98000000000002</v>
      </c>
      <c r="F37" s="507">
        <f>E37*(1+Ppto!F12)</f>
        <v>240.42900000000003</v>
      </c>
      <c r="G37" s="507">
        <f>F37*(1+Ppto!G12)</f>
        <v>250.04616000000004</v>
      </c>
      <c r="H37" s="507">
        <f>G37*(1+Ppto!H12)</f>
        <v>260.04800640000008</v>
      </c>
      <c r="I37" s="507">
        <f>H37*(1+Ppto!I12)</f>
        <v>270.44992665600012</v>
      </c>
      <c r="J37" s="507">
        <f>I37*(1+Ppto!J12)</f>
        <v>281.26792372224014</v>
      </c>
      <c r="K37" s="507">
        <f>J37*(1+Ppto!K12)</f>
        <v>292.51864067112973</v>
      </c>
      <c r="L37" s="507">
        <f>K37*(1+Ppto!L12)</f>
        <v>304.21938629797495</v>
      </c>
      <c r="M37" s="507">
        <f>L37*(1+Ppto!M12)</f>
        <v>316.38816174989398</v>
      </c>
    </row>
    <row r="39" spans="1:13">
      <c r="A39" t="s">
        <v>671</v>
      </c>
      <c r="B39">
        <v>5889054</v>
      </c>
    </row>
    <row r="40" spans="1:13">
      <c r="A40" t="s">
        <v>672</v>
      </c>
      <c r="B40">
        <v>4629308</v>
      </c>
    </row>
    <row r="41" spans="1:13">
      <c r="A41" t="s">
        <v>325</v>
      </c>
      <c r="B41">
        <f>B39-B40</f>
        <v>1259746</v>
      </c>
    </row>
  </sheetData>
  <mergeCells count="1">
    <mergeCell ref="A2:M2"/>
  </mergeCells>
  <pageMargins left="0.7" right="0.7" top="0.75" bottom="0.75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"/>
  <sheetViews>
    <sheetView tabSelected="1" zoomScaleNormal="100" zoomScalePageLayoutView="60" workbookViewId="0"/>
  </sheetViews>
  <sheetFormatPr baseColWidth="10" defaultColWidth="10.7109375" defaultRowHeight="15"/>
  <cols>
    <col min="1" max="1" width="15.42578125" customWidth="1"/>
    <col min="3" max="3" width="5.5703125" bestFit="1" customWidth="1"/>
    <col min="4" max="13" width="8.7109375" customWidth="1"/>
  </cols>
  <sheetData>
    <row r="1" spans="1:13">
      <c r="C1" s="511">
        <v>2023</v>
      </c>
      <c r="D1" s="511">
        <v>2024</v>
      </c>
      <c r="E1" s="511">
        <v>2025</v>
      </c>
      <c r="F1" s="511">
        <v>2026</v>
      </c>
      <c r="G1" s="511">
        <v>2027</v>
      </c>
      <c r="H1" s="511">
        <v>2028</v>
      </c>
      <c r="I1" s="511">
        <v>2029</v>
      </c>
      <c r="J1" s="511">
        <v>2030</v>
      </c>
      <c r="K1" s="511">
        <v>2031</v>
      </c>
      <c r="L1" s="511">
        <v>2032</v>
      </c>
      <c r="M1" s="511">
        <v>2033</v>
      </c>
    </row>
    <row r="2" spans="1:13">
      <c r="A2" t="s">
        <v>673</v>
      </c>
      <c r="C2">
        <v>0</v>
      </c>
      <c r="D2">
        <v>51081000</v>
      </c>
      <c r="E2">
        <v>51081000</v>
      </c>
      <c r="F2">
        <v>51081000</v>
      </c>
      <c r="G2">
        <v>51081000</v>
      </c>
      <c r="H2">
        <v>51081000</v>
      </c>
      <c r="I2">
        <v>51081000</v>
      </c>
      <c r="J2">
        <v>51081000</v>
      </c>
      <c r="K2">
        <v>51081000</v>
      </c>
      <c r="L2">
        <v>51081000</v>
      </c>
      <c r="M2">
        <v>51081000</v>
      </c>
    </row>
    <row r="3" spans="1:13">
      <c r="A3" t="s">
        <v>674</v>
      </c>
      <c r="C3" s="512">
        <f>24/1000</f>
        <v>2.4E-2</v>
      </c>
      <c r="D3" s="512">
        <f>C3*(1+Ppto!D12)</f>
        <v>2.6808000000000002E-2</v>
      </c>
      <c r="E3" s="512">
        <f>D3*(1+Ppto!E12)</f>
        <v>2.8684560000000005E-2</v>
      </c>
      <c r="F3" s="512">
        <f>E3*(1+Ppto!F12)</f>
        <v>3.0118788000000007E-2</v>
      </c>
      <c r="G3" s="512">
        <f>F3*(1+Ppto!G12)</f>
        <v>3.1323539520000006E-2</v>
      </c>
      <c r="H3" s="512">
        <f>G3*(1+Ppto!H12)</f>
        <v>3.2576481100800005E-2</v>
      </c>
      <c r="I3" s="512">
        <f>H3*(1+Ppto!I12)</f>
        <v>3.3879540344832003E-2</v>
      </c>
      <c r="J3" s="512">
        <f>I3*(1+Ppto!J12)</f>
        <v>3.5234721958625287E-2</v>
      </c>
      <c r="K3" s="512">
        <f>J3*(1+Ppto!K12)</f>
        <v>3.6644110836970299E-2</v>
      </c>
      <c r="L3" s="512">
        <f>K3*(1+Ppto!L12)</f>
        <v>3.8109875270449116E-2</v>
      </c>
      <c r="M3" s="512">
        <f>L3*(1+Ppto!M12)</f>
        <v>3.9634270281267085E-2</v>
      </c>
    </row>
    <row r="4" spans="1:13">
      <c r="A4" t="s">
        <v>653</v>
      </c>
      <c r="C4" s="507">
        <f t="shared" ref="C4:M4" si="0">C2*C3</f>
        <v>0</v>
      </c>
      <c r="D4" s="507">
        <f t="shared" si="0"/>
        <v>1369379.4480000001</v>
      </c>
      <c r="E4" s="507">
        <f t="shared" si="0"/>
        <v>1465236.0093600003</v>
      </c>
      <c r="F4" s="507">
        <f t="shared" si="0"/>
        <v>1538497.8098280004</v>
      </c>
      <c r="G4" s="507">
        <f t="shared" si="0"/>
        <v>1600037.7222211203</v>
      </c>
      <c r="H4" s="507">
        <f t="shared" si="0"/>
        <v>1664039.2311099651</v>
      </c>
      <c r="I4" s="507">
        <f t="shared" si="0"/>
        <v>1730600.8003543636</v>
      </c>
      <c r="J4" s="507">
        <f t="shared" si="0"/>
        <v>1799824.8323685382</v>
      </c>
      <c r="K4" s="507">
        <f t="shared" si="0"/>
        <v>1871817.8256632797</v>
      </c>
      <c r="L4" s="507">
        <f t="shared" si="0"/>
        <v>1946690.5386898112</v>
      </c>
      <c r="M4" s="507">
        <f t="shared" si="0"/>
        <v>2024558.1602374041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AD89"/>
  <sheetViews>
    <sheetView zoomScaleNormal="100" zoomScalePageLayoutView="60" workbookViewId="0"/>
  </sheetViews>
  <sheetFormatPr baseColWidth="10" defaultColWidth="10.7109375" defaultRowHeight="15"/>
  <cols>
    <col min="4" max="5" width="11.42578125" customWidth="1"/>
    <col min="6" max="13" width="11" customWidth="1"/>
    <col min="14" max="14" width="11.42578125" customWidth="1"/>
    <col min="18" max="18" width="18" customWidth="1"/>
  </cols>
  <sheetData>
    <row r="3" spans="18:30" ht="16.5">
      <c r="R3" s="87" t="s">
        <v>118</v>
      </c>
      <c r="S3" s="87"/>
      <c r="T3" s="513">
        <v>4140950.4948296002</v>
      </c>
      <c r="U3" s="513">
        <v>4387938.9437466897</v>
      </c>
      <c r="V3" s="513">
        <v>4532415.8714394104</v>
      </c>
      <c r="W3" s="513">
        <v>4706881.1225616299</v>
      </c>
      <c r="X3" s="513">
        <v>4876791.8958823401</v>
      </c>
      <c r="Y3" s="513">
        <v>5157652.2352251299</v>
      </c>
      <c r="Z3" s="513">
        <v>5813289.0125529096</v>
      </c>
      <c r="AA3" s="513">
        <v>6509765.7366134804</v>
      </c>
      <c r="AB3" s="513">
        <v>7187328.1372807696</v>
      </c>
      <c r="AC3" s="513">
        <v>7982613.1147804102</v>
      </c>
      <c r="AD3" s="513">
        <v>8808446.2556326892</v>
      </c>
    </row>
    <row r="4" spans="18:30" ht="16.5">
      <c r="R4" s="87" t="s">
        <v>127</v>
      </c>
      <c r="S4" s="87"/>
      <c r="T4" s="513">
        <v>2482499.82165035</v>
      </c>
      <c r="U4" s="513">
        <v>2827295.1045872201</v>
      </c>
      <c r="V4" s="513">
        <v>3258413.82132369</v>
      </c>
      <c r="W4" s="513">
        <v>3739735.1840372798</v>
      </c>
      <c r="X4" s="513">
        <v>4228286.7303627701</v>
      </c>
      <c r="Y4" s="513">
        <v>4804885.9028719198</v>
      </c>
      <c r="Z4" s="513">
        <v>5431013.5793594997</v>
      </c>
      <c r="AA4" s="513">
        <v>6102333.3418611996</v>
      </c>
      <c r="AB4" s="513">
        <v>6768276.4109988203</v>
      </c>
      <c r="AC4" s="513">
        <v>7525038.88774841</v>
      </c>
      <c r="AD4" s="513">
        <v>8324384.3323334698</v>
      </c>
    </row>
    <row r="5" spans="18:30" ht="16.5">
      <c r="R5" s="87" t="s">
        <v>107</v>
      </c>
      <c r="S5" s="87"/>
      <c r="T5" s="514">
        <v>-26916.1782163924</v>
      </c>
      <c r="U5" s="514">
        <v>344795.28293687198</v>
      </c>
      <c r="V5" s="514">
        <v>431118.71673647698</v>
      </c>
      <c r="W5" s="514">
        <v>481321.36271358503</v>
      </c>
      <c r="X5" s="514">
        <v>488551.54632548901</v>
      </c>
      <c r="Y5" s="514">
        <v>576599.17250914802</v>
      </c>
      <c r="Z5" s="514">
        <v>626127.67648758006</v>
      </c>
      <c r="AA5" s="514">
        <v>671319.76250170195</v>
      </c>
      <c r="AB5" s="514">
        <v>665943.06913761899</v>
      </c>
      <c r="AC5" s="514">
        <v>756762.47674959304</v>
      </c>
      <c r="AD5" s="514">
        <v>799345.444585055</v>
      </c>
    </row>
    <row r="6" spans="18:30" ht="16.5">
      <c r="R6" s="87" t="s">
        <v>9</v>
      </c>
      <c r="S6" s="87"/>
      <c r="T6" s="514">
        <v>0</v>
      </c>
      <c r="U6" s="514">
        <v>1498603.9255892001</v>
      </c>
      <c r="V6" s="514">
        <v>1498603.9255892001</v>
      </c>
      <c r="W6" s="514">
        <v>1498603.9255892001</v>
      </c>
      <c r="X6" s="514">
        <v>1498603.9255892001</v>
      </c>
      <c r="Y6" s="514">
        <v>1498603.9255892001</v>
      </c>
      <c r="Z6" s="514">
        <v>1498603.9255892001</v>
      </c>
      <c r="AA6" s="514">
        <v>1498603.9255892001</v>
      </c>
      <c r="AB6" s="514">
        <v>1498603.9255892001</v>
      </c>
      <c r="AC6" s="514">
        <v>1498603.9255892001</v>
      </c>
      <c r="AD6" s="514">
        <v>1498603.9255892001</v>
      </c>
    </row>
    <row r="7" spans="18:30" ht="16.5">
      <c r="R7" s="514" t="s">
        <v>675</v>
      </c>
      <c r="S7" s="514"/>
      <c r="T7" s="514">
        <f>Ppto!D162+Ppto!D181</f>
        <v>41409.504948296009</v>
      </c>
      <c r="U7" s="514">
        <f>Ppto!E162+Ppto!E181</f>
        <v>260642.08199764634</v>
      </c>
      <c r="V7" s="514">
        <f>Ppto!F162+Ppto!F181</f>
        <v>270153.61898141302</v>
      </c>
      <c r="W7" s="514">
        <f>Ppto!G162+Ppto!G181</f>
        <v>274247.28766531643</v>
      </c>
      <c r="X7" s="514">
        <f>Ppto!H162+Ppto!H181</f>
        <v>346085.35033143876</v>
      </c>
      <c r="Y7" s="514">
        <f>Ppto!I162+Ppto!I181</f>
        <v>294326.06217985135</v>
      </c>
      <c r="Z7" s="514">
        <f>Ppto!J162+Ppto!J181</f>
        <v>311082.89219330996</v>
      </c>
      <c r="AA7" s="514">
        <f>Ppto!K162+Ppto!K181</f>
        <v>315825.18259782565</v>
      </c>
      <c r="AB7" s="514">
        <f>Ppto!L162+Ppto!L181</f>
        <v>402828.93875029468</v>
      </c>
      <c r="AC7" s="514">
        <f>Ppto!M162+Ppto!M181</f>
        <v>340600.53668620449</v>
      </c>
      <c r="AD7" s="514">
        <f>Ppto!N162+Ppto!N181</f>
        <v>362109.61427375837</v>
      </c>
    </row>
    <row r="8" spans="18:30" ht="16.5"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8:30" ht="16.5">
      <c r="R9" s="514" t="s">
        <v>108</v>
      </c>
      <c r="S9" s="514"/>
      <c r="T9" s="514">
        <v>-41409.504948296002</v>
      </c>
      <c r="U9" s="514">
        <v>1237961.8435915499</v>
      </c>
      <c r="V9" s="514">
        <v>1228450.3066077901</v>
      </c>
      <c r="W9" s="514">
        <v>1224356.63792388</v>
      </c>
      <c r="X9" s="514">
        <v>1152518.57525776</v>
      </c>
      <c r="Y9" s="514">
        <v>1204277.8634093499</v>
      </c>
      <c r="Z9" s="514">
        <v>1187521.0333958899</v>
      </c>
      <c r="AA9" s="514">
        <v>1182778.7429913799</v>
      </c>
      <c r="AB9" s="514">
        <v>1095774.98683891</v>
      </c>
      <c r="AC9" s="514">
        <v>1158003.3889029999</v>
      </c>
      <c r="AD9" s="514">
        <v>1136494.3113154401</v>
      </c>
    </row>
    <row r="10" spans="18:30" ht="16.5">
      <c r="R10" s="514" t="s">
        <v>102</v>
      </c>
      <c r="S10" s="514"/>
      <c r="T10" s="514">
        <v>-41409.504948296002</v>
      </c>
      <c r="U10" s="514">
        <v>823258.87699926097</v>
      </c>
      <c r="V10" s="514">
        <v>813747.34001549403</v>
      </c>
      <c r="W10" s="514">
        <v>809653.67133159097</v>
      </c>
      <c r="X10" s="514">
        <v>737782.525164566</v>
      </c>
      <c r="Y10" s="514">
        <v>789541.81331615301</v>
      </c>
      <c r="Z10" s="514">
        <v>772784.98330269498</v>
      </c>
      <c r="AA10" s="514">
        <v>767887.63515633496</v>
      </c>
      <c r="AB10" s="514">
        <v>680883.87900386599</v>
      </c>
      <c r="AC10" s="514">
        <v>743112.28106795601</v>
      </c>
      <c r="AD10" s="514">
        <v>721430.88952508406</v>
      </c>
    </row>
    <row r="11" spans="18:30" ht="16.5">
      <c r="R11" s="87" t="s">
        <v>676</v>
      </c>
      <c r="S11" s="87"/>
      <c r="T11" s="515" t="e">
        <f t="shared" ref="T11:AD11" si="0">(T9/T6)</f>
        <v>#DIV/0!</v>
      </c>
      <c r="U11" s="515">
        <f t="shared" si="0"/>
        <v>0.8260767387919562</v>
      </c>
      <c r="V11" s="515">
        <f t="shared" si="0"/>
        <v>0.81972980694335573</v>
      </c>
      <c r="W11" s="515">
        <f t="shared" si="0"/>
        <v>0.81699815209179072</v>
      </c>
      <c r="X11" s="515">
        <f t="shared" si="0"/>
        <v>0.7690614948874025</v>
      </c>
      <c r="Y11" s="515">
        <f t="shared" si="0"/>
        <v>0.80359983238124033</v>
      </c>
      <c r="Z11" s="515">
        <f t="shared" si="0"/>
        <v>0.79241820545011388</v>
      </c>
      <c r="AA11" s="515">
        <f t="shared" si="0"/>
        <v>0.78925373328803439</v>
      </c>
      <c r="AB11" s="515">
        <f t="shared" si="0"/>
        <v>0.73119719502141878</v>
      </c>
      <c r="AC11" s="515">
        <f t="shared" si="0"/>
        <v>0.772721443691476</v>
      </c>
      <c r="AD11" s="515">
        <f t="shared" si="0"/>
        <v>0.75836870030125481</v>
      </c>
    </row>
    <row r="12" spans="18:30" ht="16.5">
      <c r="R12" s="87" t="s">
        <v>677</v>
      </c>
      <c r="S12" s="87"/>
      <c r="T12" s="515" t="e">
        <f t="shared" ref="T12:AD12" si="1">(T10/T6)</f>
        <v>#DIV/0!</v>
      </c>
      <c r="U12" s="515">
        <f t="shared" si="1"/>
        <v>0.54935054082124035</v>
      </c>
      <c r="V12" s="515">
        <f t="shared" si="1"/>
        <v>0.54300360897263511</v>
      </c>
      <c r="W12" s="515">
        <f t="shared" si="1"/>
        <v>0.54027195412107487</v>
      </c>
      <c r="X12" s="515">
        <f t="shared" si="1"/>
        <v>0.49231322070272504</v>
      </c>
      <c r="Y12" s="515">
        <f t="shared" si="1"/>
        <v>0.52685155819656082</v>
      </c>
      <c r="Z12" s="515">
        <f t="shared" si="1"/>
        <v>0.5156699312654357</v>
      </c>
      <c r="AA12" s="515">
        <f t="shared" si="1"/>
        <v>0.51240199097598627</v>
      </c>
      <c r="AB12" s="515">
        <f t="shared" si="1"/>
        <v>0.45434545270937121</v>
      </c>
      <c r="AC12" s="515">
        <f t="shared" si="1"/>
        <v>0.49586970137942854</v>
      </c>
      <c r="AD12" s="515">
        <f t="shared" si="1"/>
        <v>0.48140197500246235</v>
      </c>
    </row>
    <row r="13" spans="18:30" ht="16.5">
      <c r="R13" s="87" t="s">
        <v>678</v>
      </c>
      <c r="S13" s="87"/>
      <c r="T13" s="515" t="e">
        <f t="shared" ref="T13:AD13" si="2">(T5/T6)</f>
        <v>#DIV/0!</v>
      </c>
      <c r="U13" s="515">
        <f t="shared" si="2"/>
        <v>0.2300776589793799</v>
      </c>
      <c r="V13" s="515">
        <f t="shared" si="2"/>
        <v>0.28768022649278446</v>
      </c>
      <c r="W13" s="515">
        <f t="shared" si="2"/>
        <v>0.32117983577571763</v>
      </c>
      <c r="X13" s="515">
        <f t="shared" si="2"/>
        <v>0.32600444852925842</v>
      </c>
      <c r="Y13" s="515">
        <f t="shared" si="2"/>
        <v>0.38475754845126864</v>
      </c>
      <c r="Z13" s="515">
        <f t="shared" si="2"/>
        <v>0.41780731105545982</v>
      </c>
      <c r="AA13" s="515">
        <f t="shared" si="2"/>
        <v>0.44796343519369991</v>
      </c>
      <c r="AB13" s="515">
        <f t="shared" si="2"/>
        <v>0.44437563372576433</v>
      </c>
      <c r="AC13" s="515">
        <f t="shared" si="2"/>
        <v>0.50497830936353627</v>
      </c>
      <c r="AD13" s="515">
        <f t="shared" si="2"/>
        <v>0.53339340097536414</v>
      </c>
    </row>
    <row r="14" spans="18:30" ht="16.5">
      <c r="R14" s="87" t="s">
        <v>679</v>
      </c>
      <c r="S14" s="87"/>
      <c r="T14" s="515">
        <v>0</v>
      </c>
      <c r="U14" s="515">
        <f t="shared" ref="U14:AD14" si="3">U5/U4</f>
        <v>0.12195235027905284</v>
      </c>
      <c r="V14" s="515">
        <f t="shared" si="3"/>
        <v>0.13230938130545383</v>
      </c>
      <c r="W14" s="515">
        <f t="shared" si="3"/>
        <v>0.12870466464258259</v>
      </c>
      <c r="X14" s="515">
        <f t="shared" si="3"/>
        <v>0.11554361789546218</v>
      </c>
      <c r="Y14" s="515">
        <f t="shared" si="3"/>
        <v>0.12000267730905118</v>
      </c>
      <c r="Z14" s="515">
        <f t="shared" si="3"/>
        <v>0.11528744447761474</v>
      </c>
      <c r="AA14" s="515">
        <f t="shared" si="3"/>
        <v>0.11001033947072952</v>
      </c>
      <c r="AB14" s="515">
        <f t="shared" si="3"/>
        <v>9.8391825141098704E-2</v>
      </c>
      <c r="AC14" s="515">
        <f t="shared" si="3"/>
        <v>0.10056592238768168</v>
      </c>
      <c r="AD14" s="515">
        <f t="shared" si="3"/>
        <v>9.6024572229353636E-2</v>
      </c>
    </row>
    <row r="15" spans="18:30" ht="16.5">
      <c r="R15" s="87" t="s">
        <v>680</v>
      </c>
      <c r="S15" s="87"/>
      <c r="T15" s="515">
        <v>0</v>
      </c>
      <c r="U15" s="515">
        <f>IFERROR(EEFFs!E18/EEFFs!E38,0)</f>
        <v>7.8577692084239092E-2</v>
      </c>
      <c r="V15" s="515">
        <f>IFERROR(EEFFs!F18/EEFFs!F38,0)</f>
        <v>9.5118728002344485E-2</v>
      </c>
      <c r="W15" s="515">
        <f>IFERROR(EEFFs!G18/EEFFs!G38,0)</f>
        <v>0.10225888573234126</v>
      </c>
      <c r="X15" s="515">
        <f>IFERROR(EEFFs!H18/EEFFs!H38,0)</f>
        <v>0.10017870200330477</v>
      </c>
      <c r="Y15" s="515">
        <f>IFERROR(EEFFs!I18/EEFFs!I38,0)</f>
        <v>0.11179476007936082</v>
      </c>
      <c r="Z15" s="515">
        <f>IFERROR(EEFFs!J18/EEFFs!J38,0)</f>
        <v>0.1077061663549546</v>
      </c>
      <c r="AA15" s="515">
        <f>IFERROR(EEFFs!K18/EEFFs!K38,0)</f>
        <v>0.10312494290307776</v>
      </c>
      <c r="AB15" s="515">
        <f>IFERROR(EEFFs!L18/EEFFs!L38,0)</f>
        <v>9.2655084444551089E-2</v>
      </c>
      <c r="AC15" s="515">
        <f>IFERROR(EEFFs!M18/EEFFs!M38,0)</f>
        <v>9.4801291359422071E-2</v>
      </c>
      <c r="AD15" s="515">
        <f>IFERROR(EEFFs!N18/EEFFs!N38,0)</f>
        <v>9.0747563130471373E-2</v>
      </c>
    </row>
    <row r="16" spans="18:30" ht="16.5">
      <c r="R16" s="87" t="s">
        <v>134</v>
      </c>
      <c r="S16" s="87"/>
      <c r="T16" s="513">
        <v>4182359.9997779001</v>
      </c>
      <c r="U16" s="513">
        <v>1248836.60465767</v>
      </c>
      <c r="V16" s="513">
        <v>1532915.6183515</v>
      </c>
      <c r="W16" s="513">
        <v>1559373.1291491699</v>
      </c>
      <c r="X16" s="513">
        <v>1598407.8622514601</v>
      </c>
      <c r="Y16" s="513">
        <v>1639122.1114117</v>
      </c>
      <c r="Z16" s="513">
        <v>1689092.2907289399</v>
      </c>
      <c r="AA16" s="513">
        <v>1763515.92505087</v>
      </c>
      <c r="AB16" s="513">
        <v>1842247.8452586001</v>
      </c>
      <c r="AC16" s="513">
        <v>1919741.6087513899</v>
      </c>
      <c r="AD16" s="513">
        <v>2006935.2585026601</v>
      </c>
    </row>
    <row r="17" spans="18:30" ht="16.5">
      <c r="R17" s="87" t="s">
        <v>138</v>
      </c>
      <c r="S17" s="87"/>
      <c r="T17" s="513">
        <v>-4182359.9997779001</v>
      </c>
      <c r="U17" s="513">
        <v>-826042.51503088896</v>
      </c>
      <c r="V17" s="513">
        <v>-1123849.96799377</v>
      </c>
      <c r="W17" s="513">
        <v>-1007770.90770413</v>
      </c>
      <c r="X17" s="513">
        <v>-1034035.1843282999</v>
      </c>
      <c r="Y17" s="513">
        <v>-946445.60381898005</v>
      </c>
      <c r="Z17" s="513">
        <v>-657446.94126575999</v>
      </c>
      <c r="AA17" s="513">
        <v>-672149.98899269395</v>
      </c>
      <c r="AB17" s="513">
        <v>-768044.98687735305</v>
      </c>
      <c r="AC17" s="513">
        <v>-711080.89111541095</v>
      </c>
      <c r="AD17" s="513">
        <v>-802715.76431870996</v>
      </c>
    </row>
    <row r="18" spans="18:30" ht="16.5">
      <c r="R18" s="87" t="s">
        <v>141</v>
      </c>
      <c r="S18" s="87"/>
      <c r="T18" s="513">
        <v>0</v>
      </c>
      <c r="U18" s="513">
        <v>422794.08962677798</v>
      </c>
      <c r="V18" s="513">
        <v>831859.73998451</v>
      </c>
      <c r="W18" s="513">
        <v>1383461.9614295501</v>
      </c>
      <c r="X18" s="513">
        <v>1947834.6393527</v>
      </c>
      <c r="Y18" s="513">
        <v>2640511.1469454202</v>
      </c>
      <c r="Z18" s="513">
        <v>3672156.4964085999</v>
      </c>
      <c r="AA18" s="513">
        <v>4763522.4324667696</v>
      </c>
      <c r="AB18" s="513">
        <v>5837725.2908480102</v>
      </c>
      <c r="AC18" s="513">
        <v>7046386.0084839901</v>
      </c>
      <c r="AD18" s="513">
        <v>8250605.5026679495</v>
      </c>
    </row>
    <row r="19" spans="18:30" ht="16.5"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8:30" ht="16.5">
      <c r="R20" s="16"/>
      <c r="S20" s="513" t="s">
        <v>118</v>
      </c>
      <c r="T20" s="513">
        <v>4140950.4948296002</v>
      </c>
      <c r="U20" s="513">
        <v>4387938.9437466897</v>
      </c>
      <c r="V20" s="513">
        <v>4532415.8714394104</v>
      </c>
      <c r="W20" s="513">
        <v>4706881.1225616299</v>
      </c>
      <c r="X20" s="513">
        <v>4876791.8958823401</v>
      </c>
      <c r="Y20" s="513">
        <v>5157652.2352251299</v>
      </c>
      <c r="Z20" s="513">
        <v>5813289.0125529096</v>
      </c>
      <c r="AA20" s="513">
        <v>6509765.7366134804</v>
      </c>
      <c r="AB20" s="513">
        <v>7187328.1372807696</v>
      </c>
      <c r="AC20" s="513">
        <v>7982613.1147804102</v>
      </c>
      <c r="AD20" s="513">
        <v>8808446.2556326892</v>
      </c>
    </row>
    <row r="21" spans="18:30" ht="16.5">
      <c r="R21" s="16"/>
      <c r="S21" s="513" t="s">
        <v>125</v>
      </c>
      <c r="T21" s="513">
        <v>1658450.67317926</v>
      </c>
      <c r="U21" s="513">
        <v>1560643.8391594701</v>
      </c>
      <c r="V21" s="513">
        <v>1274002.0501157099</v>
      </c>
      <c r="W21" s="513">
        <v>967145.93852434796</v>
      </c>
      <c r="X21" s="513">
        <v>648505.16551957303</v>
      </c>
      <c r="Y21" s="513">
        <v>352766.33235321299</v>
      </c>
      <c r="Z21" s="513">
        <v>382275.43319340999</v>
      </c>
      <c r="AA21" s="513">
        <v>407432.39475228603</v>
      </c>
      <c r="AB21" s="513">
        <v>419051.72628195601</v>
      </c>
      <c r="AC21" s="513">
        <v>457574.22703200002</v>
      </c>
      <c r="AD21" s="513">
        <v>484061.92329922301</v>
      </c>
    </row>
    <row r="22" spans="18:30" ht="16.5">
      <c r="R22" s="16"/>
      <c r="S22" s="513" t="s">
        <v>127</v>
      </c>
      <c r="T22" s="513">
        <v>2482499.82165035</v>
      </c>
      <c r="U22" s="513">
        <v>2827295.1045872201</v>
      </c>
      <c r="V22" s="513">
        <v>3258413.82132369</v>
      </c>
      <c r="W22" s="513">
        <v>3739735.1840372798</v>
      </c>
      <c r="X22" s="513">
        <v>4228286.7303627701</v>
      </c>
      <c r="Y22" s="513">
        <v>4804885.9028719198</v>
      </c>
      <c r="Z22" s="513">
        <v>5431013.5793594997</v>
      </c>
      <c r="AA22" s="513">
        <v>6102333.3418611996</v>
      </c>
      <c r="AB22" s="513">
        <v>6768276.4109988203</v>
      </c>
      <c r="AC22" s="513">
        <v>7525038.88774841</v>
      </c>
      <c r="AD22" s="513">
        <v>8324384.3323334698</v>
      </c>
    </row>
    <row r="23" spans="18:30" ht="16.5"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8:30" ht="16.5">
      <c r="R24" s="513" t="s">
        <v>104</v>
      </c>
      <c r="S24" s="513"/>
      <c r="T24" s="513">
        <v>0</v>
      </c>
      <c r="U24" s="513">
        <v>-292804.595557919</v>
      </c>
      <c r="V24" s="513">
        <v>-184799.46856783101</v>
      </c>
      <c r="W24" s="513">
        <v>-129928.47071681</v>
      </c>
      <c r="X24" s="513">
        <v>-85968.698249148001</v>
      </c>
      <c r="Y24" s="513">
        <v>-42984.349124574001</v>
      </c>
      <c r="Z24" s="513">
        <v>0</v>
      </c>
      <c r="AA24" s="513">
        <v>0</v>
      </c>
      <c r="AB24" s="513">
        <v>0</v>
      </c>
      <c r="AC24" s="513">
        <v>0</v>
      </c>
      <c r="AD24" s="513">
        <v>0</v>
      </c>
    </row>
    <row r="25" spans="18:30" ht="16.5">
      <c r="R25" s="513" t="s">
        <v>108</v>
      </c>
      <c r="S25" s="513"/>
      <c r="T25" s="513">
        <v>-41409.504948296002</v>
      </c>
      <c r="U25" s="513">
        <v>1237961.8435915499</v>
      </c>
      <c r="V25" s="513">
        <v>1228450.3066077901</v>
      </c>
      <c r="W25" s="513">
        <v>1224356.63792388</v>
      </c>
      <c r="X25" s="513">
        <v>1152518.57525776</v>
      </c>
      <c r="Y25" s="513">
        <v>1204277.8634093499</v>
      </c>
      <c r="Z25" s="513">
        <v>1187521.0333958899</v>
      </c>
      <c r="AA25" s="513">
        <v>1182778.7429913799</v>
      </c>
      <c r="AB25" s="513">
        <v>1095774.98683891</v>
      </c>
      <c r="AC25" s="513">
        <v>1158003.3889029999</v>
      </c>
      <c r="AD25" s="513">
        <v>1136494.3113154401</v>
      </c>
    </row>
    <row r="26" spans="18:30" ht="16.5">
      <c r="R26" s="16" t="s">
        <v>681</v>
      </c>
      <c r="S26" s="16"/>
      <c r="T26" s="516"/>
      <c r="U26" s="517">
        <f>(U25/U24)*100</f>
        <v>-422.79454024029189</v>
      </c>
      <c r="V26" s="516"/>
      <c r="W26" s="516"/>
      <c r="X26" s="516"/>
      <c r="Y26" s="516"/>
      <c r="Z26" s="518"/>
      <c r="AA26" s="518"/>
      <c r="AB26" s="518"/>
      <c r="AC26" s="518"/>
      <c r="AD26" s="518"/>
    </row>
    <row r="83" spans="2:14" ht="16.5">
      <c r="B83" s="87" t="s">
        <v>682</v>
      </c>
      <c r="C83" s="87"/>
      <c r="D83" s="513">
        <v>-2509415.9998667398</v>
      </c>
      <c r="E83" s="513">
        <v>-1984140.3017946901</v>
      </c>
      <c r="F83" s="513">
        <v>-1724049.34497974</v>
      </c>
      <c r="G83" s="513">
        <v>-1203053.9186907201</v>
      </c>
      <c r="H83" s="513">
        <v>-711253.14302723401</v>
      </c>
      <c r="I83" s="513">
        <v>-117421.90790671</v>
      </c>
      <c r="J83" s="513">
        <v>779842.80131076602</v>
      </c>
      <c r="K83" s="513">
        <v>1697368.22942216</v>
      </c>
      <c r="L83" s="513">
        <v>2540182.5719550899</v>
      </c>
      <c r="M83" s="513">
        <v>3468648.1073677</v>
      </c>
      <c r="N83" s="513">
        <v>4473422.7250169804</v>
      </c>
    </row>
    <row r="84" spans="2:14" ht="16.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ht="16.5">
      <c r="B85" s="87" t="s">
        <v>683</v>
      </c>
      <c r="C85" s="87"/>
      <c r="D85" s="513">
        <v>-4182359.9997779001</v>
      </c>
      <c r="E85" s="513">
        <v>-3132172.5146109699</v>
      </c>
      <c r="F85" s="513">
        <v>-2417373.1032447</v>
      </c>
      <c r="G85" s="513">
        <v>-1477335.37100752</v>
      </c>
      <c r="H85" s="513">
        <v>-595066.14149985602</v>
      </c>
      <c r="I85" s="513">
        <v>361293.72053387301</v>
      </c>
      <c r="J85" s="513">
        <v>1258558.4297513501</v>
      </c>
      <c r="K85" s="513">
        <v>2176083.8578627398</v>
      </c>
      <c r="L85" s="513">
        <v>3018898.20039568</v>
      </c>
      <c r="M85" s="513">
        <v>3947363.7358082798</v>
      </c>
      <c r="N85" s="513">
        <v>4952138.3534575598</v>
      </c>
    </row>
    <row r="86" spans="2:14" ht="16.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ht="16.5">
      <c r="B87" s="87" t="s">
        <v>182</v>
      </c>
      <c r="C87" s="87"/>
      <c r="D87" s="513">
        <v>-2509415.9998667398</v>
      </c>
      <c r="E87" s="513">
        <v>525275.69807205</v>
      </c>
      <c r="F87" s="513">
        <v>260090.956814946</v>
      </c>
      <c r="G87" s="513">
        <v>520995.426289025</v>
      </c>
      <c r="H87" s="513">
        <v>491800.77566348301</v>
      </c>
      <c r="I87" s="513">
        <v>593831.23512052395</v>
      </c>
      <c r="J87" s="513">
        <v>897264.70921747596</v>
      </c>
      <c r="K87" s="513">
        <v>917525.42811139103</v>
      </c>
      <c r="L87" s="513">
        <v>842814.34253293904</v>
      </c>
      <c r="M87" s="513">
        <v>928465.53541260597</v>
      </c>
      <c r="N87" s="513">
        <v>1004774.61764927</v>
      </c>
    </row>
    <row r="88" spans="2:14" ht="16.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2:14" ht="16.5">
      <c r="B89" s="87" t="s">
        <v>171</v>
      </c>
      <c r="C89" s="87"/>
      <c r="D89" s="513">
        <v>-4182359.9997779001</v>
      </c>
      <c r="E89" s="513">
        <v>1050187.4851669299</v>
      </c>
      <c r="F89" s="513">
        <v>714799.41136626701</v>
      </c>
      <c r="G89" s="513">
        <v>940037.73223718302</v>
      </c>
      <c r="H89" s="513">
        <v>882269.22950766096</v>
      </c>
      <c r="I89" s="513">
        <v>956359.86203372898</v>
      </c>
      <c r="J89" s="513">
        <v>897264.70921747596</v>
      </c>
      <c r="K89" s="513">
        <v>917525.42811139103</v>
      </c>
      <c r="L89" s="513">
        <v>842814.34253293904</v>
      </c>
      <c r="M89" s="513">
        <v>928465.53541260597</v>
      </c>
      <c r="N89" s="513">
        <v>1004774.61764927</v>
      </c>
    </row>
  </sheetData>
  <pageMargins left="0.7" right="0.7" top="0.75" bottom="0.75" header="0.51180555555555496" footer="0.51180555555555496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N31"/>
  <sheetViews>
    <sheetView zoomScaleNormal="100" zoomScalePageLayoutView="60" workbookViewId="0"/>
  </sheetViews>
  <sheetFormatPr baseColWidth="10" defaultColWidth="10.7109375" defaultRowHeight="15"/>
  <cols>
    <col min="2" max="2" width="30.85546875" customWidth="1"/>
    <col min="3" max="3" width="2.85546875" customWidth="1"/>
    <col min="4" max="4" width="11.5703125" hidden="1" customWidth="1"/>
  </cols>
  <sheetData>
    <row r="3" spans="2:14" ht="16.5">
      <c r="D3" s="21">
        <f>EEFFs!D6</f>
        <v>2023</v>
      </c>
      <c r="E3" s="21">
        <f>EEFFs!E6</f>
        <v>2024</v>
      </c>
      <c r="F3" s="21">
        <f>EEFFs!F6</f>
        <v>2025</v>
      </c>
      <c r="G3" s="21">
        <f>EEFFs!G6</f>
        <v>2026</v>
      </c>
      <c r="H3" s="21">
        <f>EEFFs!H6</f>
        <v>2027</v>
      </c>
      <c r="I3" s="21">
        <f>EEFFs!I6</f>
        <v>2028</v>
      </c>
      <c r="J3" s="21">
        <f>EEFFs!J6</f>
        <v>2029</v>
      </c>
      <c r="K3" s="21">
        <f>EEFFs!K6</f>
        <v>2030</v>
      </c>
      <c r="L3" s="21">
        <f>EEFFs!L6</f>
        <v>2031</v>
      </c>
      <c r="M3" s="21">
        <f>EEFFs!M6</f>
        <v>2032</v>
      </c>
      <c r="N3" s="21">
        <f>EEFFs!N6</f>
        <v>2033</v>
      </c>
    </row>
    <row r="4" spans="2:14">
      <c r="B4" s="511" t="s">
        <v>684</v>
      </c>
    </row>
    <row r="5" spans="2:14">
      <c r="B5" t="str">
        <f>EEFFs!B8</f>
        <v>Ingresos</v>
      </c>
      <c r="F5" s="519">
        <f>EEFFs!F8/EEFFs!E8-1</f>
        <v>0</v>
      </c>
      <c r="G5" s="519">
        <f>EEFFs!G8/EEFFs!F8-1</f>
        <v>0</v>
      </c>
      <c r="H5" s="519">
        <f>EEFFs!H8/EEFFs!G8-1</f>
        <v>0</v>
      </c>
      <c r="I5" s="519">
        <f>EEFFs!I8/EEFFs!H8-1</f>
        <v>0</v>
      </c>
      <c r="J5" s="519">
        <f>EEFFs!J8/EEFFs!I8-1</f>
        <v>0</v>
      </c>
      <c r="K5" s="519">
        <f>EEFFs!K8/EEFFs!J8-1</f>
        <v>0</v>
      </c>
      <c r="L5" s="519">
        <f>EEFFs!L8/EEFFs!K8-1</f>
        <v>0</v>
      </c>
      <c r="M5" s="519">
        <f>EEFFs!M8/EEFFs!L8-1</f>
        <v>0</v>
      </c>
      <c r="N5" s="519">
        <f>EEFFs!N8/EEFFs!M8-1</f>
        <v>0</v>
      </c>
    </row>
    <row r="6" spans="2:14">
      <c r="B6" t="str">
        <f>EEFFs!B9</f>
        <v>Costo de las ventas</v>
      </c>
      <c r="F6" s="519">
        <f>EEFFs!F9/EEFFs!E9-1</f>
        <v>5.5270895303664247E-2</v>
      </c>
      <c r="G6" s="519">
        <f>EEFFs!G9/EEFFs!F9-1</f>
        <v>3.0361348620635109E-2</v>
      </c>
      <c r="H6" s="519">
        <f>EEFFs!H9/EEFFs!G9-1</f>
        <v>0.33757854823190581</v>
      </c>
      <c r="I6" s="519">
        <f>EEFFs!I9/EEFFs!H9-1</f>
        <v>-0.16602444608826994</v>
      </c>
      <c r="J6" s="519">
        <f>EEFFs!J9/EEFFs!I9-1</f>
        <v>7.8387820907999117E-2</v>
      </c>
      <c r="K6" s="519">
        <f>EEFFs!K9/EEFFs!J9-1</f>
        <v>2.7282691881201693E-2</v>
      </c>
      <c r="L6" s="519">
        <f>EEFFs!L9/EEFFs!K9-1</f>
        <v>0.3274303096369704</v>
      </c>
      <c r="M6" s="519">
        <f>EEFFs!M9/EEFFs!L9-1</f>
        <v>-0.16537429548640481</v>
      </c>
      <c r="N6" s="519">
        <f>EEFFs!N9/EEFFs!M9-1</f>
        <v>7.8394099605856526E-2</v>
      </c>
    </row>
    <row r="7" spans="2:14">
      <c r="B7" t="str">
        <f>EEFFs!B10</f>
        <v>Depreciación y Amortización</v>
      </c>
      <c r="F7" s="519">
        <f>EEFFs!F10/EEFFs!E10-1</f>
        <v>0</v>
      </c>
      <c r="G7" s="519">
        <f>EEFFs!G10/EEFFs!F10-1</f>
        <v>0</v>
      </c>
      <c r="H7" s="519">
        <f>EEFFs!H10/EEFFs!G10-1</f>
        <v>7.977637868084031E-5</v>
      </c>
      <c r="I7" s="519">
        <f>EEFFs!I10/EEFFs!H10-1</f>
        <v>0</v>
      </c>
      <c r="J7" s="519">
        <f>EEFFs!J10/EEFFs!I10-1</f>
        <v>0</v>
      </c>
      <c r="K7" s="519">
        <f>EEFFs!K10/EEFFs!J10-1</f>
        <v>3.738709036975596E-4</v>
      </c>
      <c r="L7" s="519">
        <f>EEFFs!L10/EEFFs!K10-1</f>
        <v>0</v>
      </c>
      <c r="M7" s="519">
        <f>EEFFs!M10/EEFFs!L10-1</f>
        <v>0</v>
      </c>
      <c r="N7" s="519">
        <f>EEFFs!N10/EEFFs!M10-1</f>
        <v>4.1532332716709419E-4</v>
      </c>
    </row>
    <row r="8" spans="2:14">
      <c r="B8" t="str">
        <f>EEFFs!B12</f>
        <v>Gastos de Admón y Ventas</v>
      </c>
      <c r="F8" s="519">
        <f>EEFFs!F12/EEFFs!E12-1</f>
        <v>-3.0002359159705838E-2</v>
      </c>
      <c r="G8" s="519">
        <f>EEFFs!G12/EEFFs!F12-1</f>
        <v>-4.343479748600021E-2</v>
      </c>
      <c r="H8" s="519">
        <f>EEFFs!H12/EEFFs!G12-1</f>
        <v>-5.1895804335150064E-2</v>
      </c>
      <c r="I8" s="519">
        <f>EEFFs!I12/EEFFs!H12-1</f>
        <v>-5.3149371226359987E-2</v>
      </c>
      <c r="J8" s="519">
        <f>EEFFs!J12/EEFFs!I12-1</f>
        <v>-5.3695520791096518E-2</v>
      </c>
      <c r="K8" s="519">
        <f>EEFFs!K12/EEFFs!J12-1</f>
        <v>-5.5492453448892642E-2</v>
      </c>
      <c r="L8" s="519">
        <f>EEFFs!L12/EEFFs!K12-1</f>
        <v>-5.6528230686074266E-2</v>
      </c>
      <c r="M8" s="519">
        <f>EEFFs!M12/EEFFs!L12-1</f>
        <v>-5.6504563422399512E-2</v>
      </c>
      <c r="N8" s="519">
        <f>EEFFs!N12/EEFFs!M12-1</f>
        <v>-5.8102297555314597E-2</v>
      </c>
    </row>
    <row r="9" spans="2:14" hidden="1"/>
    <row r="10" spans="2:14">
      <c r="B10" s="511" t="s">
        <v>685</v>
      </c>
    </row>
    <row r="11" spans="2:14">
      <c r="B11" t="str">
        <f>B6</f>
        <v>Costo de las ventas</v>
      </c>
      <c r="E11" s="519">
        <f>-EEFFs!E9/EEFFs!E$8</f>
        <v>0.13562348289517903</v>
      </c>
      <c r="F11" s="519">
        <f>-EEFFs!F9/EEFFs!F$8</f>
        <v>0.14311951421899677</v>
      </c>
      <c r="G11" s="519">
        <f>-EEFFs!G9/EEFFs!G$8</f>
        <v>0.14746481568461567</v>
      </c>
      <c r="H11" s="519">
        <f>-EEFFs!H9/EEFFs!H$8</f>
        <v>0.1972457740787138</v>
      </c>
      <c r="I11" s="519">
        <f>-EEFFs!I9/EEFFs!I$8</f>
        <v>0.1644981536940433</v>
      </c>
      <c r="J11" s="519">
        <f>-EEFFs!J9/EEFFs!J$8</f>
        <v>0.17739280550550848</v>
      </c>
      <c r="K11" s="519">
        <f>-EEFFs!K9/EEFFs!K$8</f>
        <v>0.18223255876005723</v>
      </c>
      <c r="L11" s="519">
        <f>-EEFFs!L9/EEFFs!L$8</f>
        <v>0.24190102190080015</v>
      </c>
      <c r="M11" s="519">
        <f>-EEFFs!M9/EEFFs!M$8</f>
        <v>0.20189681082651395</v>
      </c>
      <c r="N11" s="519">
        <f>-EEFFs!N9/EEFFs!N$8</f>
        <v>0.21772432952455248</v>
      </c>
    </row>
    <row r="12" spans="2:14">
      <c r="B12" t="str">
        <f>B7</f>
        <v>Depreciación y Amortización</v>
      </c>
      <c r="E12" s="519">
        <f>-EEFFs!E10/EEFFs!E$8</f>
        <v>0.27672657532519934</v>
      </c>
      <c r="F12" s="519">
        <f>-EEFFs!F10/EEFFs!F$8</f>
        <v>0.27672657532519934</v>
      </c>
      <c r="G12" s="519">
        <f>-EEFFs!G10/EEFFs!G$8</f>
        <v>0.27672657532519934</v>
      </c>
      <c r="H12" s="519">
        <f>-EEFFs!H10/EEFFs!H$8</f>
        <v>0.27674865156926348</v>
      </c>
      <c r="I12" s="519">
        <f>-EEFFs!I10/EEFFs!I$8</f>
        <v>0.27674865156926348</v>
      </c>
      <c r="J12" s="519">
        <f>-EEFFs!J10/EEFFs!J$8</f>
        <v>0.27674865156926348</v>
      </c>
      <c r="K12" s="519">
        <f>-EEFFs!K10/EEFFs!K$8</f>
        <v>0.27685211983772279</v>
      </c>
      <c r="L12" s="519">
        <f>-EEFFs!L10/EEFFs!L$8</f>
        <v>0.27685211983772279</v>
      </c>
      <c r="M12" s="519">
        <f>-EEFFs!M10/EEFFs!M$8</f>
        <v>0.27685211983772279</v>
      </c>
      <c r="N12" s="519">
        <f>-EEFFs!N10/EEFFs!N$8</f>
        <v>0.27696710298126703</v>
      </c>
    </row>
    <row r="13" spans="2:14">
      <c r="B13" t="str">
        <f>B8</f>
        <v>Gastos de Admón y Ventas</v>
      </c>
      <c r="E13" s="519">
        <f>-EEFFs!E12/EEFFs!E$8</f>
        <v>3.830001548130646E-2</v>
      </c>
      <c r="F13" s="519">
        <f>-EEFFs!F12/EEFFs!F$8</f>
        <v>3.7150924661014009E-2</v>
      </c>
      <c r="G13" s="519">
        <f>-EEFFs!G12/EEFFs!G$8</f>
        <v>3.5537281771945213E-2</v>
      </c>
      <c r="H13" s="519">
        <f>-EEFFs!H12/EEFFs!H$8</f>
        <v>3.3693045950505249E-2</v>
      </c>
      <c r="I13" s="519">
        <f>-EEFFs!I12/EEFFs!I$8</f>
        <v>3.1902281743535044E-2</v>
      </c>
      <c r="J13" s="519">
        <f>-EEFFs!J12/EEFFs!J$8</f>
        <v>3.0189272110891636E-2</v>
      </c>
      <c r="K13" s="519">
        <f>-EEFFs!K12/EEFFs!K$8</f>
        <v>2.851399533362203E-2</v>
      </c>
      <c r="L13" s="519">
        <f>-EEFFs!L12/EEFFs!L$8</f>
        <v>2.6902149627621396E-2</v>
      </c>
      <c r="M13" s="519">
        <f>-EEFFs!M12/EEFFs!M$8</f>
        <v>2.5382055407788585E-2</v>
      </c>
      <c r="N13" s="519">
        <f>-EEFFs!N12/EEFFs!N$8</f>
        <v>2.390729967191977E-2</v>
      </c>
    </row>
    <row r="14" spans="2:14" hidden="1"/>
    <row r="15" spans="2:14">
      <c r="B15" s="511" t="s">
        <v>686</v>
      </c>
    </row>
    <row r="16" spans="2:14">
      <c r="B16" t="s">
        <v>687</v>
      </c>
      <c r="E16" s="519">
        <f>EEFFs!E11/EEFFs!E$8</f>
        <v>0.5876499417796216</v>
      </c>
      <c r="F16" s="519">
        <f>EEFFs!F11/EEFFs!F$8</f>
        <v>0.58015391045580389</v>
      </c>
      <c r="G16" s="519">
        <f>EEFFs!G11/EEFFs!G$8</f>
        <v>0.57580860899018493</v>
      </c>
      <c r="H16" s="519">
        <f>EEFFs!H11/EEFFs!H$8</f>
        <v>0.52600557435202266</v>
      </c>
      <c r="I16" s="519">
        <f>EEFFs!I11/EEFFs!I$8</f>
        <v>0.55875319473669316</v>
      </c>
      <c r="J16" s="519">
        <f>EEFFs!J11/EEFFs!J$8</f>
        <v>0.54585854292522795</v>
      </c>
      <c r="K16" s="519">
        <f>EEFFs!K11/EEFFs!K$8</f>
        <v>0.54091532140221998</v>
      </c>
      <c r="L16" s="519">
        <f>EEFFs!L11/EEFFs!L$8</f>
        <v>0.48124685826147706</v>
      </c>
      <c r="M16" s="519">
        <f>EEFFs!M11/EEFFs!M$8</f>
        <v>0.52125106933576315</v>
      </c>
      <c r="N16" s="519">
        <f>EEFFs!N11/EEFFs!N$8</f>
        <v>0.50530856749418063</v>
      </c>
    </row>
    <row r="17" spans="2:14">
      <c r="B17" t="s">
        <v>688</v>
      </c>
      <c r="E17" s="519">
        <f>EEFFs!E13/EEFFs!E$8</f>
        <v>0.54934992629831514</v>
      </c>
      <c r="F17" s="519">
        <f>EEFFs!F13/EEFFs!F$8</f>
        <v>0.54300298579478978</v>
      </c>
      <c r="G17" s="519">
        <f>EEFFs!G13/EEFFs!G$8</f>
        <v>0.54027132721823967</v>
      </c>
      <c r="H17" s="519">
        <f>EEFFs!H13/EEFFs!H$8</f>
        <v>0.4923125284015174</v>
      </c>
      <c r="I17" s="519">
        <f>EEFFs!I13/EEFFs!I$8</f>
        <v>0.52685091299315812</v>
      </c>
      <c r="J17" s="519">
        <f>EEFFs!J13/EEFFs!J$8</f>
        <v>0.51566927081433622</v>
      </c>
      <c r="K17" s="519">
        <f>EEFFs!K13/EEFFs!K$8</f>
        <v>0.5124013260685979</v>
      </c>
      <c r="L17" s="519">
        <f>EEFFs!L13/EEFFs!L$8</f>
        <v>0.45434470863385568</v>
      </c>
      <c r="M17" s="519">
        <f>EEFFs!M13/EEFFs!M$8</f>
        <v>0.49586901392797461</v>
      </c>
      <c r="N17" s="519">
        <f>EEFFs!N13/EEFFs!N$8</f>
        <v>0.48140126782226084</v>
      </c>
    </row>
    <row r="18" spans="2:14">
      <c r="B18" t="s">
        <v>676</v>
      </c>
      <c r="E18" s="519">
        <f>Evaluación!E12/EEFFs!E$8</f>
        <v>0.82607650162351443</v>
      </c>
      <c r="F18" s="519">
        <f>Evaluación!F12/EEFFs!F$8</f>
        <v>0.81972956111998918</v>
      </c>
      <c r="G18" s="519">
        <f>Evaluación!G12/EEFFs!G$8</f>
        <v>0.81699790254343896</v>
      </c>
      <c r="H18" s="519">
        <f>Evaluación!H12/EEFFs!H$8</f>
        <v>0.76906117997078105</v>
      </c>
      <c r="I18" s="519">
        <f>Evaluación!I12/EEFFs!I$8</f>
        <v>0.80359956456242165</v>
      </c>
      <c r="J18" s="519">
        <f>Evaluación!J12/EEFFs!J$8</f>
        <v>0.79241792238359987</v>
      </c>
      <c r="K18" s="519">
        <f>Evaluación!K12/EEFFs!K$8</f>
        <v>0.78925344590632085</v>
      </c>
      <c r="L18" s="519">
        <f>Evaluación!L12/EEFFs!L$8</f>
        <v>0.73119682847157841</v>
      </c>
      <c r="M18" s="519">
        <f>Evaluación!M12/EEFFs!M$8</f>
        <v>0.7727211337656974</v>
      </c>
      <c r="N18" s="519">
        <f>Evaluación!N12/EEFFs!N$8</f>
        <v>0.75836837080352792</v>
      </c>
    </row>
    <row r="19" spans="2:14">
      <c r="B19" t="s">
        <v>689</v>
      </c>
      <c r="E19" s="519">
        <f>Evaluación!E16/EEFFs!E$8</f>
        <v>0.35707745209390479</v>
      </c>
      <c r="F19" s="519">
        <f>Evaluación!F16/EEFFs!F$8</f>
        <v>0.35295194076661335</v>
      </c>
      <c r="G19" s="519">
        <f>Evaluación!G16/EEFFs!G$8</f>
        <v>0.35117636269185576</v>
      </c>
      <c r="H19" s="519">
        <f>Evaluación!H16/EEFFs!H$8</f>
        <v>0.32000314346098641</v>
      </c>
      <c r="I19" s="519">
        <f>Evaluación!I16/EEFFs!I$8</f>
        <v>0.3424530934455528</v>
      </c>
      <c r="J19" s="519">
        <f>Evaluación!J16/EEFFs!J$8</f>
        <v>0.33518502602931866</v>
      </c>
      <c r="K19" s="519">
        <f>Evaluación!K16/EEFFs!K$8</f>
        <v>0.33306086194458873</v>
      </c>
      <c r="L19" s="519">
        <f>Evaluación!L16/EEFFs!L$8</f>
        <v>0.29532406061200611</v>
      </c>
      <c r="M19" s="519">
        <f>Evaluación!M16/EEFFs!M$8</f>
        <v>0.32231485905318347</v>
      </c>
      <c r="N19" s="519">
        <f>Evaluación!N16/EEFFs!N$8</f>
        <v>0.31291082408446963</v>
      </c>
    </row>
    <row r="20" spans="2:14">
      <c r="B20" t="s">
        <v>678</v>
      </c>
      <c r="E20" s="519">
        <f>EEFFs!E18/EEFFs!E$8</f>
        <v>0.2300770863571345</v>
      </c>
      <c r="F20" s="519">
        <f>EEFFs!F18/EEFFs!F$8</f>
        <v>0.28767967247577103</v>
      </c>
      <c r="G20" s="519">
        <f>EEFFs!G18/EEFFs!G$8</f>
        <v>0.32117930395477334</v>
      </c>
      <c r="H20" s="519">
        <f>EEFFs!H18/EEFFs!H$8</f>
        <v>0.32600387939542663</v>
      </c>
      <c r="I20" s="519">
        <f>EEFFs!I18/EEFFs!I$8</f>
        <v>0.38475701123869988</v>
      </c>
      <c r="J20" s="519">
        <f>EEFFs!J18/EEFFs!J$8</f>
        <v>0.41780676873182665</v>
      </c>
      <c r="K20" s="519">
        <f>EEFFs!K18/EEFFs!K$8</f>
        <v>0.44796288149162855</v>
      </c>
      <c r="L20" s="519">
        <f>EEFFs!L18/EEFFs!L$8</f>
        <v>0.44437502014783792</v>
      </c>
      <c r="M20" s="519">
        <f>EEFFs!M18/EEFFs!M$8</f>
        <v>0.50497772084537573</v>
      </c>
      <c r="N20" s="519">
        <f>EEFFs!N18/EEFFs!N$8</f>
        <v>0.53339279090616132</v>
      </c>
    </row>
    <row r="21" spans="2:14" hidden="1"/>
    <row r="22" spans="2:14">
      <c r="B22" s="511" t="s">
        <v>161</v>
      </c>
    </row>
    <row r="23" spans="2:14">
      <c r="B23" t="str">
        <f>EEFFs!B97</f>
        <v>Capital de Trabajo neto Operativo</v>
      </c>
      <c r="E23" s="520">
        <f>EEFFs!E$8/EEFFs!D97</f>
        <v>103.39944098129349</v>
      </c>
      <c r="F23" s="520">
        <f>EEFFs!F$8/EEFFs!E97</f>
        <v>-17.451466526979438</v>
      </c>
      <c r="G23" s="520">
        <f>EEFFs!G$8/EEFFs!F97</f>
        <v>10.482207926409844</v>
      </c>
      <c r="H23" s="520">
        <f>EEFFs!H$8/EEFFs!G97</f>
        <v>10.613195950380874</v>
      </c>
      <c r="I23" s="520">
        <f>EEFFs!I$8/EEFFs!H97</f>
        <v>9.7802591686341565</v>
      </c>
      <c r="J23" s="520">
        <f>EEFFs!J$8/EEFFs!I97</f>
        <v>12.007490787298542</v>
      </c>
      <c r="K23" s="520">
        <f>EEFFs!K$8/EEFFs!J97</f>
        <v>10.597013497722797</v>
      </c>
      <c r="L23" s="520">
        <f>EEFFs!L$8/EEFFs!K97</f>
        <v>10.866519029983515</v>
      </c>
      <c r="M23" s="520">
        <f>EEFFs!M$8/EEFFs!L97</f>
        <v>9.8229485053909524</v>
      </c>
      <c r="N23" s="520">
        <f>EEFFs!N$8/EEFFs!M97</f>
        <v>12.665332316491208</v>
      </c>
    </row>
    <row r="24" spans="2:14">
      <c r="B24" t="str">
        <f>EEFFs!B98</f>
        <v>Propiedad Planta y Equipo neta</v>
      </c>
      <c r="E24" s="520">
        <f>EEFFs!E$8/EEFFs!D98</f>
        <v>0.36189804343452725</v>
      </c>
      <c r="F24" s="520">
        <f>EEFFs!F$8/EEFFs!E98</f>
        <v>0.40217453904544553</v>
      </c>
      <c r="G24" s="520">
        <f>EEFFs!G$8/EEFFs!F98</f>
        <v>0.45253864296291929</v>
      </c>
      <c r="H24" s="520">
        <f>EEFFs!H$8/EEFFs!G98</f>
        <v>0.51684014542102052</v>
      </c>
      <c r="I24" s="520">
        <f>EEFFs!I$8/EEFFs!H98</f>
        <v>0.60310518263246382</v>
      </c>
      <c r="J24" s="520">
        <f>EEFFs!J$8/EEFFs!I98</f>
        <v>0.72393634548937547</v>
      </c>
      <c r="K24" s="520">
        <f>EEFFs!K$8/EEFFs!J98</f>
        <v>0.90358444411866512</v>
      </c>
      <c r="L24" s="520">
        <f>EEFFs!L$8/EEFFs!K98</f>
        <v>1.2050351581736933</v>
      </c>
      <c r="M24" s="520">
        <f>EEFFs!M$8/EEFFs!L98</f>
        <v>1.8083209247001464</v>
      </c>
      <c r="N24" s="520">
        <f>EEFFs!N$8/EEFFs!M98</f>
        <v>3.5892829989955897</v>
      </c>
    </row>
    <row r="25" spans="2:14">
      <c r="B25" t="str">
        <f>EEFFs!B99</f>
        <v>Capital Empleado Operativo</v>
      </c>
      <c r="E25" s="520">
        <f>EEFFs!E$8/EEFFs!D99</f>
        <v>0.36063581807127776</v>
      </c>
      <c r="F25" s="520">
        <f>EEFFs!F$8/EEFFs!E99</f>
        <v>0.41166140571245347</v>
      </c>
      <c r="G25" s="520">
        <f>EEFFs!G$8/EEFFs!F99</f>
        <v>0.43381015921841964</v>
      </c>
      <c r="H25" s="520">
        <f>EEFFs!H$8/EEFFs!G99</f>
        <v>0.4928398875944015</v>
      </c>
      <c r="I25" s="520">
        <f>EEFFs!I$8/EEFFs!H99</f>
        <v>0.56807454622088815</v>
      </c>
      <c r="J25" s="520">
        <f>EEFFs!J$8/EEFFs!I99</f>
        <v>0.68277176693472064</v>
      </c>
      <c r="K25" s="520">
        <f>EEFFs!K$8/EEFFs!J99</f>
        <v>0.83259119213454225</v>
      </c>
      <c r="L25" s="520">
        <f>EEFFs!L$8/EEFFs!K99</f>
        <v>1.084743296015688</v>
      </c>
      <c r="M25" s="520">
        <f>EEFFs!M$8/EEFFs!L99</f>
        <v>1.5271801097304101</v>
      </c>
      <c r="N25" s="520">
        <f>EEFFs!N$8/EEFFs!M99</f>
        <v>2.79671103116782</v>
      </c>
    </row>
    <row r="26" spans="2:14" hidden="1"/>
    <row r="27" spans="2:14">
      <c r="B27" s="511" t="s">
        <v>690</v>
      </c>
    </row>
    <row r="28" spans="2:14">
      <c r="B28" t="str">
        <f>B25</f>
        <v>Capital Empleado Operativo</v>
      </c>
      <c r="E28" s="519">
        <f t="shared" ref="E28:N28" si="0">E19*E25</f>
        <v>0.12877491905069285</v>
      </c>
      <c r="F28" s="519">
        <f t="shared" si="0"/>
        <v>0.14529669208492266</v>
      </c>
      <c r="G28" s="519">
        <f t="shared" si="0"/>
        <v>0.15234387381309944</v>
      </c>
      <c r="H28" s="519">
        <f t="shared" si="0"/>
        <v>0.15771031325316767</v>
      </c>
      <c r="I28" s="519">
        <f t="shared" si="0"/>
        <v>0.19453888566102182</v>
      </c>
      <c r="J28" s="519">
        <f t="shared" si="0"/>
        <v>0.22885487247209824</v>
      </c>
      <c r="K28" s="519">
        <f t="shared" si="0"/>
        <v>0.27730354009980335</v>
      </c>
      <c r="L28" s="519">
        <f t="shared" si="0"/>
        <v>0.32035079490100432</v>
      </c>
      <c r="M28" s="519">
        <f t="shared" si="0"/>
        <v>0.49223284181658239</v>
      </c>
      <c r="N28" s="519">
        <f t="shared" si="0"/>
        <v>0.87512115348884945</v>
      </c>
    </row>
    <row r="29" spans="2:14">
      <c r="B29" t="str">
        <f>CCPP!B17</f>
        <v>Costo de Capital Promedio Ponderado</v>
      </c>
      <c r="E29" s="519">
        <f>CCPP!$D17</f>
        <v>0.16743148830958393</v>
      </c>
      <c r="F29" s="519">
        <f>CCPP!$D17</f>
        <v>0.16743148830958393</v>
      </c>
      <c r="G29" s="519">
        <f>CCPP!$D17</f>
        <v>0.16743148830958393</v>
      </c>
      <c r="H29" s="519">
        <f>CCPP!$D17</f>
        <v>0.16743148830958393</v>
      </c>
      <c r="I29" s="519">
        <f>CCPP!$D17</f>
        <v>0.16743148830958393</v>
      </c>
      <c r="J29" s="519">
        <f>CCPP!$D17</f>
        <v>0.16743148830958393</v>
      </c>
      <c r="K29" s="519">
        <f>CCPP!$D17</f>
        <v>0.16743148830958393</v>
      </c>
      <c r="L29" s="519">
        <f>CCPP!$D17</f>
        <v>0.16743148830958393</v>
      </c>
      <c r="M29" s="519">
        <f>CCPP!$D17</f>
        <v>0.16743148830958393</v>
      </c>
      <c r="N29" s="519">
        <f>CCPP!$D17</f>
        <v>0.16743148830958393</v>
      </c>
    </row>
    <row r="30" spans="2:14">
      <c r="B30" t="s">
        <v>127</v>
      </c>
      <c r="E30" s="519">
        <f>EEFFs!E18/EEFFs!D52</f>
        <v>0.13888982050335902</v>
      </c>
      <c r="F30" s="519">
        <f>EEFFs!F18/EEFFs!E52</f>
        <v>0.15248408291114404</v>
      </c>
      <c r="G30" s="519">
        <f>EEFFs!G18/EEFFs!F52</f>
        <v>0.14771614087910176</v>
      </c>
      <c r="H30" s="519">
        <f>EEFFs!H18/EEFFs!G52</f>
        <v>0.13063774620976121</v>
      </c>
      <c r="I30" s="519">
        <f>EEFFs!I18/EEFFs!H52</f>
        <v>0.13636690172812607</v>
      </c>
      <c r="J30" s="519">
        <f>EEFFs!J18/EEFFs!I52</f>
        <v>0.13031047463077333</v>
      </c>
      <c r="K30" s="519">
        <f>EEFFs!K18/EEFFs!J52</f>
        <v>0.12360844197532352</v>
      </c>
      <c r="L30" s="519">
        <f>EEFFs!L18/EEFFs!K52</f>
        <v>0.10912914360763322</v>
      </c>
      <c r="M30" s="519">
        <f>EEFFs!M18/EEFFs!L52</f>
        <v>0.11181014486777431</v>
      </c>
      <c r="N30" s="519">
        <f>EEFFs!N18/EEFFs!M52</f>
        <v>0.10622469712420278</v>
      </c>
    </row>
    <row r="31" spans="2:14">
      <c r="B31" t="str">
        <f>CCPP!B12</f>
        <v>Costo de Patrimonio</v>
      </c>
      <c r="E31" s="519">
        <f>CCPP!$D12</f>
        <v>0.18858976721899678</v>
      </c>
      <c r="F31" s="519">
        <f>CCPP!$D12</f>
        <v>0.18858976721899678</v>
      </c>
      <c r="G31" s="519">
        <f>CCPP!$D12</f>
        <v>0.18858976721899678</v>
      </c>
      <c r="H31" s="519">
        <f>CCPP!$D12</f>
        <v>0.18858976721899678</v>
      </c>
      <c r="I31" s="519">
        <f>CCPP!$D12</f>
        <v>0.18858976721899678</v>
      </c>
      <c r="J31" s="519">
        <f>CCPP!$D12</f>
        <v>0.18858976721899678</v>
      </c>
      <c r="K31" s="519">
        <f>CCPP!$D12</f>
        <v>0.18858976721899678</v>
      </c>
      <c r="L31" s="519">
        <f>CCPP!$D12</f>
        <v>0.18858976721899678</v>
      </c>
      <c r="M31" s="519">
        <f>CCPP!$D12</f>
        <v>0.18858976721899678</v>
      </c>
      <c r="N31" s="519">
        <f>CCPP!$D12</f>
        <v>0.18858976721899678</v>
      </c>
    </row>
  </sheetData>
  <conditionalFormatting sqref="B19:N19">
    <cfRule type="iconSet" priority="2">
      <iconSet>
        <cfvo type="percent" val="0"/>
        <cfvo type="percent" val="33"/>
        <cfvo type="percent" val="67"/>
      </iconSet>
    </cfRule>
  </conditionalFormatting>
  <conditionalFormatting sqref="E25:N25">
    <cfRule type="iconSet" priority="3">
      <iconSet>
        <cfvo type="percent" val="0"/>
        <cfvo type="percent" val="33"/>
        <cfvo type="percent" val="67"/>
      </iconSet>
    </cfRule>
  </conditionalFormatting>
  <conditionalFormatting sqref="E28:N28"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67"/>
  <sheetViews>
    <sheetView zoomScaleNormal="100" zoomScalePageLayoutView="60" workbookViewId="0"/>
  </sheetViews>
  <sheetFormatPr baseColWidth="10" defaultColWidth="11.5703125" defaultRowHeight="16.5"/>
  <cols>
    <col min="1" max="1" width="5.42578125" style="15" customWidth="1"/>
    <col min="2" max="2" width="36.5703125" style="16" customWidth="1"/>
    <col min="3" max="3" width="5.85546875" style="16" customWidth="1"/>
    <col min="4" max="4" width="8.85546875" style="16" customWidth="1"/>
    <col min="5" max="5" width="7.85546875" style="16" customWidth="1"/>
    <col min="6" max="14" width="8.85546875" style="16" customWidth="1"/>
    <col min="15" max="15" width="11.5703125" style="16"/>
    <col min="16" max="16" width="18" style="16" customWidth="1"/>
    <col min="17" max="17" width="9.42578125" style="16" customWidth="1"/>
    <col min="18" max="28" width="10.140625" style="16" customWidth="1"/>
    <col min="29" max="1024" width="11.5703125" style="16"/>
  </cols>
  <sheetData>
    <row r="1" spans="2:14">
      <c r="G1" s="16" t="s">
        <v>96</v>
      </c>
    </row>
    <row r="2" spans="2:14">
      <c r="B2" s="14" t="str">
        <f>Comercial!D2</f>
        <v>Solución Empresa ABC SAS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14">
      <c r="B3" s="14" t="s">
        <v>97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>
      <c r="B4" s="13" t="str">
        <f>"Valores en "&amp;Ppto!D$3</f>
        <v>Valores en Miles de pesos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4">
      <c r="D5" s="21">
        <f>Ppto!D9</f>
        <v>0</v>
      </c>
      <c r="E5" s="21">
        <f>Ppto!E9</f>
        <v>1</v>
      </c>
      <c r="F5" s="21">
        <f>Ppto!F9</f>
        <v>2</v>
      </c>
      <c r="G5" s="21">
        <f>Ppto!G9</f>
        <v>3</v>
      </c>
      <c r="H5" s="21">
        <f>Ppto!H9</f>
        <v>4</v>
      </c>
      <c r="I5" s="21">
        <f>Ppto!I9</f>
        <v>5</v>
      </c>
      <c r="J5" s="21">
        <f>Ppto!J9</f>
        <v>6</v>
      </c>
      <c r="K5" s="21">
        <f>Ppto!K9</f>
        <v>7</v>
      </c>
      <c r="L5" s="21">
        <f>Ppto!L9</f>
        <v>8</v>
      </c>
      <c r="M5" s="21">
        <f>Ppto!M9</f>
        <v>9</v>
      </c>
      <c r="N5" s="21">
        <f>Ppto!N9</f>
        <v>10</v>
      </c>
    </row>
    <row r="6" spans="2:14">
      <c r="D6" s="21">
        <f>Ppto!D10</f>
        <v>2023</v>
      </c>
      <c r="E6" s="21">
        <f>Ppto!E10</f>
        <v>2024</v>
      </c>
      <c r="F6" s="21">
        <f>Ppto!F10</f>
        <v>2025</v>
      </c>
      <c r="G6" s="21">
        <f>Ppto!G10</f>
        <v>2026</v>
      </c>
      <c r="H6" s="21">
        <f>Ppto!H10</f>
        <v>2027</v>
      </c>
      <c r="I6" s="21">
        <f>Ppto!I10</f>
        <v>2028</v>
      </c>
      <c r="J6" s="21">
        <f>Ppto!J10</f>
        <v>2029</v>
      </c>
      <c r="K6" s="21">
        <f>Ppto!K10</f>
        <v>2030</v>
      </c>
      <c r="L6" s="21">
        <f>Ppto!L10</f>
        <v>2031</v>
      </c>
      <c r="M6" s="21">
        <f>Ppto!M10</f>
        <v>2032</v>
      </c>
      <c r="N6" s="21">
        <f>Ppto!N10</f>
        <v>2033</v>
      </c>
    </row>
    <row r="7" spans="2:14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>
      <c r="B8" s="16" t="s">
        <v>9</v>
      </c>
      <c r="D8" s="73">
        <f>+Ppto!D142*FM</f>
        <v>0</v>
      </c>
      <c r="E8" s="73">
        <f>+Ppto!E142*FM</f>
        <v>1498601.8820380699</v>
      </c>
      <c r="F8" s="73">
        <f>+Ppto!F142*FM</f>
        <v>1498601.8820380699</v>
      </c>
      <c r="G8" s="73">
        <f>+Ppto!G142*FM</f>
        <v>1498601.8820380699</v>
      </c>
      <c r="H8" s="73">
        <f>+Ppto!H142*FM</f>
        <v>1498601.8820380699</v>
      </c>
      <c r="I8" s="73">
        <f>+Ppto!I142*FM</f>
        <v>1498601.8820380699</v>
      </c>
      <c r="J8" s="73">
        <f>+Ppto!J142*FM</f>
        <v>1498601.8820380699</v>
      </c>
      <c r="K8" s="73">
        <f>+Ppto!K142*FM</f>
        <v>1498601.8820380699</v>
      </c>
      <c r="L8" s="73">
        <f>+Ppto!L142*FM</f>
        <v>1498601.8820380699</v>
      </c>
      <c r="M8" s="73">
        <f>+Ppto!M142*FM</f>
        <v>1498601.8820380699</v>
      </c>
      <c r="N8" s="73">
        <f>+Ppto!N142*FM</f>
        <v>1498601.8820380699</v>
      </c>
    </row>
    <row r="9" spans="2:14">
      <c r="B9" s="16" t="s">
        <v>98</v>
      </c>
      <c r="D9" s="73">
        <f>-Ppto!D162*FM</f>
        <v>0</v>
      </c>
      <c r="E9" s="73">
        <f>-Ppto!E162*FM</f>
        <v>-203245.60671527326</v>
      </c>
      <c r="F9" s="73">
        <f>-Ppto!F162*FM</f>
        <v>-214479.17336496286</v>
      </c>
      <c r="G9" s="73">
        <f>-Ppto!G162*FM</f>
        <v>-220991.05031936214</v>
      </c>
      <c r="H9" s="73">
        <f>-Ppto!H162*FM</f>
        <v>-295592.88825841644</v>
      </c>
      <c r="I9" s="73">
        <f>-Ppto!I162*FM</f>
        <v>-246517.24271768099</v>
      </c>
      <c r="J9" s="73">
        <f>-Ppto!J162*FM</f>
        <v>-265841.19219056831</v>
      </c>
      <c r="K9" s="73">
        <f>-Ppto!K162*FM</f>
        <v>-273094.05552643491</v>
      </c>
      <c r="L9" s="73">
        <f>-Ppto!L162*FM</f>
        <v>-362513.32668747148</v>
      </c>
      <c r="M9" s="73">
        <f>-Ppto!M162*FM</f>
        <v>-302562.94068209798</v>
      </c>
      <c r="N9" s="73">
        <f>-Ppto!N162*FM</f>
        <v>-326282.08999097126</v>
      </c>
    </row>
    <row r="10" spans="2:14">
      <c r="B10" s="16" t="s">
        <v>99</v>
      </c>
      <c r="D10" s="73">
        <f>Ppto!D256*FM</f>
        <v>0</v>
      </c>
      <c r="E10" s="73">
        <f>Ppto!E256*FM</f>
        <v>-414702.96659229341</v>
      </c>
      <c r="F10" s="73">
        <f>Ppto!F256*FM</f>
        <v>-414702.96659229341</v>
      </c>
      <c r="G10" s="73">
        <f>Ppto!G256*FM</f>
        <v>-414702.96659229341</v>
      </c>
      <c r="H10" s="73">
        <f>Ppto!H256*FM</f>
        <v>-414736.05009319633</v>
      </c>
      <c r="I10" s="73">
        <f>Ppto!I256*FM</f>
        <v>-414736.05009319633</v>
      </c>
      <c r="J10" s="73">
        <f>Ppto!J256*FM</f>
        <v>-414736.05009319633</v>
      </c>
      <c r="K10" s="73">
        <f>Ppto!K256*FM</f>
        <v>-414891.1078350406</v>
      </c>
      <c r="L10" s="73">
        <f>Ppto!L256*FM</f>
        <v>-414891.1078350406</v>
      </c>
      <c r="M10" s="73">
        <f>Ppto!M256*FM</f>
        <v>-414891.1078350406</v>
      </c>
      <c r="N10" s="73">
        <f>Ppto!N256*FM</f>
        <v>-415063.42179035867</v>
      </c>
    </row>
    <row r="11" spans="2:14">
      <c r="B11" s="94" t="s">
        <v>100</v>
      </c>
      <c r="C11" s="94"/>
      <c r="D11" s="95">
        <f t="shared" ref="D11:N11" si="0">SUM(D8:D10)</f>
        <v>0</v>
      </c>
      <c r="E11" s="95">
        <f t="shared" si="0"/>
        <v>880653.30873050308</v>
      </c>
      <c r="F11" s="95">
        <f t="shared" si="0"/>
        <v>869419.74208081351</v>
      </c>
      <c r="G11" s="95">
        <f t="shared" si="0"/>
        <v>862907.86512641422</v>
      </c>
      <c r="H11" s="95">
        <f t="shared" si="0"/>
        <v>788272.94368645712</v>
      </c>
      <c r="I11" s="95">
        <f t="shared" si="0"/>
        <v>837348.58922719257</v>
      </c>
      <c r="J11" s="95">
        <f t="shared" si="0"/>
        <v>818024.63975430513</v>
      </c>
      <c r="K11" s="95">
        <f t="shared" si="0"/>
        <v>810616.71867659432</v>
      </c>
      <c r="L11" s="95">
        <f t="shared" si="0"/>
        <v>721197.44751555775</v>
      </c>
      <c r="M11" s="95">
        <f t="shared" si="0"/>
        <v>781147.83352093119</v>
      </c>
      <c r="N11" s="95">
        <f t="shared" si="0"/>
        <v>757256.37025674013</v>
      </c>
    </row>
    <row r="12" spans="2:14">
      <c r="B12" s="16" t="s">
        <v>101</v>
      </c>
      <c r="D12" s="73">
        <f>-Ppto!D181*FM</f>
        <v>-41409.504948296009</v>
      </c>
      <c r="E12" s="73">
        <f>-Ppto!E181*FM</f>
        <v>-57396.475282373074</v>
      </c>
      <c r="F12" s="73">
        <f>-Ppto!F181*FM</f>
        <v>-55674.445616450139</v>
      </c>
      <c r="G12" s="73">
        <f>-Ppto!G181*FM</f>
        <v>-53256.237345954294</v>
      </c>
      <c r="H12" s="73">
        <f>-Ppto!H181*FM</f>
        <v>-50492.46207302234</v>
      </c>
      <c r="I12" s="73">
        <f>-Ppto!I181*FM</f>
        <v>-47808.819462170373</v>
      </c>
      <c r="J12" s="73">
        <f>-Ppto!J181*FM</f>
        <v>-45241.700002741622</v>
      </c>
      <c r="K12" s="73">
        <f>-Ppto!K181*FM</f>
        <v>-42731.127071390714</v>
      </c>
      <c r="L12" s="73">
        <f>-Ppto!L181*FM</f>
        <v>-40315.612062823187</v>
      </c>
      <c r="M12" s="73">
        <f>-Ppto!M181*FM</f>
        <v>-38037.596004106541</v>
      </c>
      <c r="N12" s="73">
        <f>-Ppto!N181*FM</f>
        <v>-35827.524282787097</v>
      </c>
    </row>
    <row r="13" spans="2:14">
      <c r="B13" s="94" t="s">
        <v>102</v>
      </c>
      <c r="C13" s="94"/>
      <c r="D13" s="95">
        <f t="shared" ref="D13:N13" si="1">SUM(D11:D12)</f>
        <v>-41409.504948296009</v>
      </c>
      <c r="E13" s="95">
        <f t="shared" si="1"/>
        <v>823256.83344813006</v>
      </c>
      <c r="F13" s="95">
        <f t="shared" si="1"/>
        <v>813745.29646436335</v>
      </c>
      <c r="G13" s="95">
        <f t="shared" si="1"/>
        <v>809651.62778045994</v>
      </c>
      <c r="H13" s="95">
        <f t="shared" si="1"/>
        <v>737780.48161343473</v>
      </c>
      <c r="I13" s="95">
        <f t="shared" si="1"/>
        <v>789539.76976502221</v>
      </c>
      <c r="J13" s="95">
        <f t="shared" si="1"/>
        <v>772782.93975156348</v>
      </c>
      <c r="K13" s="95">
        <f t="shared" si="1"/>
        <v>767885.59160520358</v>
      </c>
      <c r="L13" s="95">
        <f t="shared" si="1"/>
        <v>680881.83545273461</v>
      </c>
      <c r="M13" s="95">
        <f t="shared" si="1"/>
        <v>743110.23751682462</v>
      </c>
      <c r="N13" s="95">
        <f t="shared" si="1"/>
        <v>721428.84597395302</v>
      </c>
    </row>
    <row r="14" spans="2:14">
      <c r="B14" s="16" t="s">
        <v>103</v>
      </c>
      <c r="D14" s="73">
        <f t="shared" ref="D14:N14" si="2">D81</f>
        <v>0</v>
      </c>
      <c r="E14" s="73">
        <f t="shared" si="2"/>
        <v>0</v>
      </c>
      <c r="F14" s="73">
        <f t="shared" si="2"/>
        <v>34311.55455929217</v>
      </c>
      <c r="G14" s="73">
        <f t="shared" si="2"/>
        <v>60769.011210658762</v>
      </c>
      <c r="H14" s="73">
        <f t="shared" si="2"/>
        <v>99803.643118326101</v>
      </c>
      <c r="I14" s="73">
        <f t="shared" si="2"/>
        <v>140517.78115902626</v>
      </c>
      <c r="J14" s="73">
        <f t="shared" si="2"/>
        <v>190487.84478652885</v>
      </c>
      <c r="K14" s="73">
        <f t="shared" si="2"/>
        <v>264911.35806641384</v>
      </c>
      <c r="L14" s="73">
        <f t="shared" si="2"/>
        <v>343643.15150765789</v>
      </c>
      <c r="M14" s="73">
        <f t="shared" si="2"/>
        <v>421136.78224652173</v>
      </c>
      <c r="N14" s="73">
        <f t="shared" si="2"/>
        <v>508330.29297606548</v>
      </c>
    </row>
    <row r="15" spans="2:14">
      <c r="B15" s="16" t="s">
        <v>104</v>
      </c>
      <c r="D15" s="73">
        <f>Ppto!D281*FM</f>
        <v>0</v>
      </c>
      <c r="E15" s="73">
        <f>Ppto!E281*FM</f>
        <v>-292804.59555791889</v>
      </c>
      <c r="F15" s="73">
        <f>Ppto!F281*FM</f>
        <v>-184799.46856783101</v>
      </c>
      <c r="G15" s="73">
        <f>Ppto!G281*FM</f>
        <v>-129928.47071681001</v>
      </c>
      <c r="H15" s="73">
        <f>Ppto!H281*FM</f>
        <v>-85968.69824914803</v>
      </c>
      <c r="I15" s="73">
        <f>Ppto!I281*FM</f>
        <v>-42984.349124574008</v>
      </c>
      <c r="J15" s="73">
        <f>Ppto!J281*FM</f>
        <v>0</v>
      </c>
      <c r="K15" s="73">
        <f>Ppto!K281*FM</f>
        <v>0</v>
      </c>
      <c r="L15" s="73">
        <f>Ppto!L281*FM</f>
        <v>0</v>
      </c>
      <c r="M15" s="73">
        <f>Ppto!M281*FM</f>
        <v>0</v>
      </c>
      <c r="N15" s="73">
        <f>Ppto!N281*FM</f>
        <v>0</v>
      </c>
    </row>
    <row r="16" spans="2:14">
      <c r="B16" s="94" t="s">
        <v>105</v>
      </c>
      <c r="C16" s="94"/>
      <c r="D16" s="95">
        <f t="shared" ref="D16:N16" si="3">SUM(D13:D15)</f>
        <v>-41409.504948296009</v>
      </c>
      <c r="E16" s="95">
        <f t="shared" si="3"/>
        <v>530452.23789021117</v>
      </c>
      <c r="F16" s="95">
        <f t="shared" si="3"/>
        <v>663257.38245582453</v>
      </c>
      <c r="G16" s="95">
        <f t="shared" si="3"/>
        <v>740492.16827430867</v>
      </c>
      <c r="H16" s="95">
        <f t="shared" si="3"/>
        <v>751615.42648261273</v>
      </c>
      <c r="I16" s="95">
        <f t="shared" si="3"/>
        <v>887073.20179947454</v>
      </c>
      <c r="J16" s="95">
        <f t="shared" si="3"/>
        <v>963270.78453809232</v>
      </c>
      <c r="K16" s="95">
        <f t="shared" si="3"/>
        <v>1032796.9496716175</v>
      </c>
      <c r="L16" s="95">
        <f t="shared" si="3"/>
        <v>1024524.9869603924</v>
      </c>
      <c r="M16" s="95">
        <f t="shared" si="3"/>
        <v>1164247.0197633463</v>
      </c>
      <c r="N16" s="95">
        <f t="shared" si="3"/>
        <v>1229759.1389500184</v>
      </c>
    </row>
    <row r="17" spans="2:14">
      <c r="B17" s="16" t="s">
        <v>106</v>
      </c>
      <c r="D17" s="73">
        <f t="shared" ref="D17:N17" si="4">D150</f>
        <v>14493.326731903602</v>
      </c>
      <c r="E17" s="73">
        <f t="shared" si="4"/>
        <v>-185658.2832615739</v>
      </c>
      <c r="F17" s="73">
        <f t="shared" si="4"/>
        <v>-232140.08385953857</v>
      </c>
      <c r="G17" s="73">
        <f t="shared" si="4"/>
        <v>-259172.25889600802</v>
      </c>
      <c r="H17" s="73">
        <f t="shared" si="4"/>
        <v>-263065.39926891442</v>
      </c>
      <c r="I17" s="73">
        <f t="shared" si="4"/>
        <v>-310475.62062981608</v>
      </c>
      <c r="J17" s="73">
        <f t="shared" si="4"/>
        <v>-337144.77458833228</v>
      </c>
      <c r="K17" s="73">
        <f t="shared" si="4"/>
        <v>-361478.93238506612</v>
      </c>
      <c r="L17" s="73">
        <f t="shared" si="4"/>
        <v>-358583.74543613731</v>
      </c>
      <c r="M17" s="73">
        <f t="shared" si="4"/>
        <v>-407486.45691717119</v>
      </c>
      <c r="N17" s="73">
        <f t="shared" si="4"/>
        <v>-430415.69863250642</v>
      </c>
    </row>
    <row r="18" spans="2:14">
      <c r="B18" s="52" t="s">
        <v>107</v>
      </c>
      <c r="C18" s="52"/>
      <c r="D18" s="77">
        <f t="shared" ref="D18:N18" si="5">SUM(D16:D17)</f>
        <v>-26916.178216392407</v>
      </c>
      <c r="E18" s="77">
        <f t="shared" si="5"/>
        <v>344793.95462863729</v>
      </c>
      <c r="F18" s="77">
        <f t="shared" si="5"/>
        <v>431117.29859628598</v>
      </c>
      <c r="G18" s="77">
        <f t="shared" si="5"/>
        <v>481319.90937830065</v>
      </c>
      <c r="H18" s="77">
        <f t="shared" si="5"/>
        <v>488550.02721369831</v>
      </c>
      <c r="I18" s="77">
        <f t="shared" si="5"/>
        <v>576597.58116965846</v>
      </c>
      <c r="J18" s="77">
        <f t="shared" si="5"/>
        <v>626126.00994976005</v>
      </c>
      <c r="K18" s="77">
        <f t="shared" si="5"/>
        <v>671318.01728655142</v>
      </c>
      <c r="L18" s="77">
        <f t="shared" si="5"/>
        <v>665941.24152425514</v>
      </c>
      <c r="M18" s="77">
        <f t="shared" si="5"/>
        <v>756760.56284617516</v>
      </c>
      <c r="N18" s="77">
        <f t="shared" si="5"/>
        <v>799343.44031751202</v>
      </c>
    </row>
    <row r="20" spans="2:14">
      <c r="B20" s="52" t="s">
        <v>108</v>
      </c>
      <c r="C20" s="52"/>
      <c r="D20" s="77">
        <f t="shared" ref="D20:N20" si="6">SUM(D8:D9,D12)</f>
        <v>-41409.504948296009</v>
      </c>
      <c r="E20" s="77">
        <f t="shared" si="6"/>
        <v>1237959.8000404234</v>
      </c>
      <c r="F20" s="77">
        <f t="shared" si="6"/>
        <v>1228448.2630566568</v>
      </c>
      <c r="G20" s="77">
        <f t="shared" si="6"/>
        <v>1224354.5943727533</v>
      </c>
      <c r="H20" s="77">
        <f t="shared" si="6"/>
        <v>1152516.5317066312</v>
      </c>
      <c r="I20" s="77">
        <f t="shared" si="6"/>
        <v>1204275.8198582185</v>
      </c>
      <c r="J20" s="77">
        <f t="shared" si="6"/>
        <v>1187518.9898447599</v>
      </c>
      <c r="K20" s="77">
        <f t="shared" si="6"/>
        <v>1182776.6994402444</v>
      </c>
      <c r="L20" s="77">
        <f t="shared" si="6"/>
        <v>1095772.9432877752</v>
      </c>
      <c r="M20" s="77">
        <f t="shared" si="6"/>
        <v>1158001.3453518653</v>
      </c>
      <c r="N20" s="77">
        <f t="shared" si="6"/>
        <v>1136492.2677643117</v>
      </c>
    </row>
    <row r="22" spans="2:14">
      <c r="B22" s="14" t="str">
        <f>B$2</f>
        <v>Solución Empresa ABC SAS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2:14">
      <c r="B23" s="14" t="s">
        <v>109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14">
      <c r="B24" s="13" t="str">
        <f>B$4</f>
        <v>Valores en Miles de pesos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>
      <c r="D25" s="21">
        <f t="shared" ref="D25:N25" si="7">D$6</f>
        <v>2023</v>
      </c>
      <c r="E25" s="21">
        <f t="shared" si="7"/>
        <v>2024</v>
      </c>
      <c r="F25" s="21">
        <f t="shared" si="7"/>
        <v>2025</v>
      </c>
      <c r="G25" s="21">
        <f t="shared" si="7"/>
        <v>2026</v>
      </c>
      <c r="H25" s="21">
        <f t="shared" si="7"/>
        <v>2027</v>
      </c>
      <c r="I25" s="21">
        <f t="shared" si="7"/>
        <v>2028</v>
      </c>
      <c r="J25" s="21">
        <f t="shared" si="7"/>
        <v>2029</v>
      </c>
      <c r="K25" s="21">
        <f t="shared" si="7"/>
        <v>2030</v>
      </c>
      <c r="L25" s="21">
        <f t="shared" si="7"/>
        <v>2031</v>
      </c>
      <c r="M25" s="21">
        <f t="shared" si="7"/>
        <v>2032</v>
      </c>
      <c r="N25" s="21">
        <f t="shared" si="7"/>
        <v>2033</v>
      </c>
    </row>
    <row r="27" spans="2:14">
      <c r="B27" s="16" t="s">
        <v>110</v>
      </c>
      <c r="D27" s="73">
        <f t="shared" ref="D27:N27" si="8">D80</f>
        <v>0</v>
      </c>
      <c r="E27" s="73">
        <f t="shared" si="8"/>
        <v>422792.38666750269</v>
      </c>
      <c r="F27" s="73">
        <f t="shared" si="8"/>
        <v>831857.1069461616</v>
      </c>
      <c r="G27" s="73">
        <f t="shared" si="8"/>
        <v>1383457.8923830031</v>
      </c>
      <c r="H27" s="73">
        <f t="shared" si="8"/>
        <v>1947829.0299896519</v>
      </c>
      <c r="I27" s="73">
        <f t="shared" si="8"/>
        <v>2640503.9339146297</v>
      </c>
      <c r="J27" s="73">
        <f t="shared" si="8"/>
        <v>3672147.6055174563</v>
      </c>
      <c r="K27" s="73">
        <f t="shared" si="8"/>
        <v>4763511.7843643203</v>
      </c>
      <c r="L27" s="73">
        <f t="shared" si="8"/>
        <v>5837712.8025374673</v>
      </c>
      <c r="M27" s="73">
        <f t="shared" si="8"/>
        <v>7046371.5930823525</v>
      </c>
      <c r="N27" s="73">
        <f t="shared" si="8"/>
        <v>8250589.0691890642</v>
      </c>
    </row>
    <row r="28" spans="2:14">
      <c r="B28" s="16" t="s">
        <v>111</v>
      </c>
      <c r="D28" s="73">
        <f>Ppto!D145*FM</f>
        <v>0</v>
      </c>
      <c r="E28" s="73">
        <f>Ppto!E145*FM</f>
        <v>249766.9803396783</v>
      </c>
      <c r="F28" s="73">
        <f>Ppto!F145*FM</f>
        <v>249766.9803396783</v>
      </c>
      <c r="G28" s="73">
        <f>Ppto!G145*FM</f>
        <v>249766.9803396783</v>
      </c>
      <c r="H28" s="73">
        <f>Ppto!H145*FM</f>
        <v>249766.9803396783</v>
      </c>
      <c r="I28" s="73">
        <f>Ppto!I145*FM</f>
        <v>249766.9803396783</v>
      </c>
      <c r="J28" s="73">
        <f>Ppto!J145*FM</f>
        <v>249766.9803396783</v>
      </c>
      <c r="K28" s="73">
        <f>Ppto!K145*FM</f>
        <v>249766.9803396783</v>
      </c>
      <c r="L28" s="73">
        <f>Ppto!L145*FM</f>
        <v>249766.9803396783</v>
      </c>
      <c r="M28" s="73">
        <f>Ppto!M145*FM</f>
        <v>249766.9803396783</v>
      </c>
      <c r="N28" s="73">
        <f>Ppto!N145*FM</f>
        <v>249766.9803396783</v>
      </c>
    </row>
    <row r="29" spans="2:14">
      <c r="B29" s="16" t="s">
        <v>112</v>
      </c>
      <c r="D29" s="73">
        <f>Ppto!D166*FM</f>
        <v>0</v>
      </c>
      <c r="E29" s="73">
        <f>Ppto!E166*FM</f>
        <v>0</v>
      </c>
      <c r="F29" s="73">
        <f>Ppto!F166*FM</f>
        <v>0</v>
      </c>
      <c r="G29" s="73">
        <f>Ppto!G166*FM</f>
        <v>0</v>
      </c>
      <c r="H29" s="73">
        <f>Ppto!H166*FM</f>
        <v>0</v>
      </c>
      <c r="I29" s="73">
        <f>Ppto!I166*FM</f>
        <v>0</v>
      </c>
      <c r="J29" s="73">
        <f>Ppto!J166*FM</f>
        <v>0</v>
      </c>
      <c r="K29" s="73">
        <f>Ppto!K166*FM</f>
        <v>0</v>
      </c>
      <c r="L29" s="73">
        <f>Ppto!L166*FM</f>
        <v>0</v>
      </c>
      <c r="M29" s="73">
        <f>Ppto!M166*FM</f>
        <v>0</v>
      </c>
      <c r="N29" s="73">
        <f>Ppto!N166*FM</f>
        <v>0</v>
      </c>
    </row>
    <row r="30" spans="2:14">
      <c r="B30" s="16" t="s">
        <v>113</v>
      </c>
      <c r="D30" s="73">
        <f t="shared" ref="D30:N30" si="9">-D151</f>
        <v>0</v>
      </c>
      <c r="E30" s="73">
        <f t="shared" si="9"/>
        <v>-10869.995048927702</v>
      </c>
      <c r="F30" s="73">
        <f t="shared" si="9"/>
        <v>139243.71244618043</v>
      </c>
      <c r="G30" s="73">
        <f t="shared" si="9"/>
        <v>174105.06289465394</v>
      </c>
      <c r="H30" s="73">
        <f t="shared" si="9"/>
        <v>194379.19417200601</v>
      </c>
      <c r="I30" s="73">
        <f t="shared" si="9"/>
        <v>197299.0494516858</v>
      </c>
      <c r="J30" s="73">
        <f t="shared" si="9"/>
        <v>232856.71547236206</v>
      </c>
      <c r="K30" s="73">
        <f t="shared" si="9"/>
        <v>252858.58094124921</v>
      </c>
      <c r="L30" s="73">
        <f t="shared" si="9"/>
        <v>271109.1992887996</v>
      </c>
      <c r="M30" s="73">
        <f t="shared" si="9"/>
        <v>268937.80907710298</v>
      </c>
      <c r="N30" s="73">
        <f t="shared" si="9"/>
        <v>305614.84268787841</v>
      </c>
    </row>
    <row r="31" spans="2:14">
      <c r="B31" s="94" t="s">
        <v>114</v>
      </c>
      <c r="C31" s="94"/>
      <c r="D31" s="95">
        <f t="shared" ref="D31:N31" si="10">SUM(D27:D30)</f>
        <v>0</v>
      </c>
      <c r="E31" s="95">
        <f t="shared" si="10"/>
        <v>661689.37195825332</v>
      </c>
      <c r="F31" s="95">
        <f t="shared" si="10"/>
        <v>1220867.7997320204</v>
      </c>
      <c r="G31" s="95">
        <f t="shared" si="10"/>
        <v>1807329.9356173354</v>
      </c>
      <c r="H31" s="95">
        <f t="shared" si="10"/>
        <v>2391975.2045013364</v>
      </c>
      <c r="I31" s="95">
        <f t="shared" si="10"/>
        <v>3087569.9637059942</v>
      </c>
      <c r="J31" s="95">
        <f t="shared" si="10"/>
        <v>4154771.3013294968</v>
      </c>
      <c r="K31" s="95">
        <f t="shared" si="10"/>
        <v>5266137.345645248</v>
      </c>
      <c r="L31" s="95">
        <f t="shared" si="10"/>
        <v>6358588.9821659448</v>
      </c>
      <c r="M31" s="95">
        <f t="shared" si="10"/>
        <v>7565076.3824991332</v>
      </c>
      <c r="N31" s="95">
        <f t="shared" si="10"/>
        <v>8805970.892216621</v>
      </c>
    </row>
    <row r="33" spans="2:14">
      <c r="B33" s="16" t="s">
        <v>115</v>
      </c>
      <c r="D33" s="73">
        <f>Ppto!D258*FM</f>
        <v>4140950.4948296007</v>
      </c>
      <c r="E33" s="73">
        <f>Ppto!E258*FM</f>
        <v>4140950.4948296007</v>
      </c>
      <c r="F33" s="73">
        <f>Ppto!F258*FM</f>
        <v>4140950.4948296007</v>
      </c>
      <c r="G33" s="73">
        <f>Ppto!G258*FM</f>
        <v>4143655.1043723095</v>
      </c>
      <c r="H33" s="73">
        <f>Ppto!H258*FM</f>
        <v>4143655.1043723095</v>
      </c>
      <c r="I33" s="73">
        <f>Ppto!I258*FM</f>
        <v>4143655.1043723095</v>
      </c>
      <c r="J33" s="73">
        <f>Ppto!J258*FM</f>
        <v>4146824.8871405511</v>
      </c>
      <c r="K33" s="73">
        <f>Ppto!K258*FM</f>
        <v>4146824.8871405511</v>
      </c>
      <c r="L33" s="73">
        <f>Ppto!L258*FM</f>
        <v>4146824.8871405511</v>
      </c>
      <c r="M33" s="73">
        <f>Ppto!M258*FM</f>
        <v>4150511.6117747468</v>
      </c>
      <c r="N33" s="73">
        <f>Ppto!N258*FM</f>
        <v>4150511.6117747468</v>
      </c>
    </row>
    <row r="34" spans="2:14">
      <c r="B34" s="16" t="s">
        <v>39</v>
      </c>
      <c r="D34" s="73">
        <f>Ppto!D257*FM</f>
        <v>0</v>
      </c>
      <c r="E34" s="73">
        <f>Ppto!E257*FM</f>
        <v>-414702.96659229341</v>
      </c>
      <c r="F34" s="73">
        <f>Ppto!F257*FM</f>
        <v>-829405.93318458681</v>
      </c>
      <c r="G34" s="73">
        <f>Ppto!G257*FM</f>
        <v>-1244108.8997768802</v>
      </c>
      <c r="H34" s="73">
        <f>Ppto!H257*FM</f>
        <v>-1658844.9498700765</v>
      </c>
      <c r="I34" s="73">
        <f>Ppto!I257*FM</f>
        <v>-2073580.9999632728</v>
      </c>
      <c r="J34" s="73">
        <f>Ppto!J257*FM</f>
        <v>-2488317.0500564692</v>
      </c>
      <c r="K34" s="73">
        <f>Ppto!K257*FM</f>
        <v>-2903208.1578915096</v>
      </c>
      <c r="L34" s="73">
        <f>Ppto!L257*FM</f>
        <v>-3318099.26572655</v>
      </c>
      <c r="M34" s="73">
        <f>Ppto!M257*FM</f>
        <v>-3732990.3735615904</v>
      </c>
      <c r="N34" s="73">
        <f>Ppto!N257*FM</f>
        <v>-4148053.7953519491</v>
      </c>
    </row>
    <row r="35" spans="2:14">
      <c r="B35" s="16" t="s">
        <v>116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2:14">
      <c r="B36" s="94" t="s">
        <v>117</v>
      </c>
      <c r="C36" s="94"/>
      <c r="D36" s="95">
        <f t="shared" ref="D36:N36" si="11">SUM(D33:D35)</f>
        <v>4140950.4948296007</v>
      </c>
      <c r="E36" s="95">
        <f t="shared" si="11"/>
        <v>3726247.5282373074</v>
      </c>
      <c r="F36" s="95">
        <f t="shared" si="11"/>
        <v>3311544.5616450137</v>
      </c>
      <c r="G36" s="95">
        <f t="shared" si="11"/>
        <v>2899546.2045954294</v>
      </c>
      <c r="H36" s="95">
        <f t="shared" si="11"/>
        <v>2484810.154502233</v>
      </c>
      <c r="I36" s="95">
        <f t="shared" si="11"/>
        <v>2070074.1044090367</v>
      </c>
      <c r="J36" s="95">
        <f t="shared" si="11"/>
        <v>1658507.837084082</v>
      </c>
      <c r="K36" s="95">
        <f t="shared" si="11"/>
        <v>1243616.7292490415</v>
      </c>
      <c r="L36" s="95">
        <f t="shared" si="11"/>
        <v>828725.6214140011</v>
      </c>
      <c r="M36" s="95">
        <f t="shared" si="11"/>
        <v>417521.23821315635</v>
      </c>
      <c r="N36" s="95">
        <f t="shared" si="11"/>
        <v>2457.8164227977395</v>
      </c>
    </row>
    <row r="38" spans="2:14">
      <c r="B38" s="52" t="s">
        <v>118</v>
      </c>
      <c r="C38" s="52"/>
      <c r="D38" s="77">
        <f t="shared" ref="D38:N38" si="12">D31+D36</f>
        <v>4140950.4948296007</v>
      </c>
      <c r="E38" s="77">
        <f t="shared" si="12"/>
        <v>4387936.9001955604</v>
      </c>
      <c r="F38" s="77">
        <f t="shared" si="12"/>
        <v>4532412.3613770343</v>
      </c>
      <c r="G38" s="77">
        <f t="shared" si="12"/>
        <v>4706876.140212765</v>
      </c>
      <c r="H38" s="77">
        <f t="shared" si="12"/>
        <v>4876785.3590035699</v>
      </c>
      <c r="I38" s="77">
        <f t="shared" si="12"/>
        <v>5157644.0681150313</v>
      </c>
      <c r="J38" s="77">
        <f t="shared" si="12"/>
        <v>5813279.1384135783</v>
      </c>
      <c r="K38" s="77">
        <f t="shared" si="12"/>
        <v>6509754.0748942895</v>
      </c>
      <c r="L38" s="77">
        <f t="shared" si="12"/>
        <v>7187314.6035799459</v>
      </c>
      <c r="M38" s="77">
        <f t="shared" si="12"/>
        <v>7982597.6207122896</v>
      </c>
      <c r="N38" s="77">
        <f t="shared" si="12"/>
        <v>8808428.7086394187</v>
      </c>
    </row>
    <row r="40" spans="2:14">
      <c r="B40" s="16" t="s">
        <v>119</v>
      </c>
      <c r="D40" s="73">
        <f>Ppto!D279*FM</f>
        <v>1672943.9999111588</v>
      </c>
      <c r="E40" s="73">
        <f>Ppto!E279*FM</f>
        <v>1338355.199928927</v>
      </c>
      <c r="F40" s="73">
        <f>Ppto!F279*FM</f>
        <v>1003766.3999466952</v>
      </c>
      <c r="G40" s="73">
        <f>Ppto!G279*FM</f>
        <v>669177.59996446338</v>
      </c>
      <c r="H40" s="73">
        <f>Ppto!H279*FM</f>
        <v>334588.79998223163</v>
      </c>
      <c r="I40" s="73">
        <f>Ppto!I279*FM</f>
        <v>0</v>
      </c>
      <c r="J40" s="73">
        <f>Ppto!J279*FM</f>
        <v>0</v>
      </c>
      <c r="K40" s="73">
        <f>Ppto!K279*FM</f>
        <v>0</v>
      </c>
      <c r="L40" s="73">
        <f>Ppto!L279*FM</f>
        <v>0</v>
      </c>
      <c r="M40" s="73">
        <f>Ppto!M279*FM</f>
        <v>0</v>
      </c>
      <c r="N40" s="73">
        <f>Ppto!N279*FM</f>
        <v>0</v>
      </c>
    </row>
    <row r="41" spans="2:14">
      <c r="B41" s="16" t="s">
        <v>120</v>
      </c>
      <c r="D41" s="73">
        <f>Ppto!D168*FM</f>
        <v>0</v>
      </c>
      <c r="E41" s="73">
        <f>Ppto!E168*FM</f>
        <v>32111.10111921221</v>
      </c>
      <c r="F41" s="73">
        <f>Ppto!F168*FM</f>
        <v>33754.150560827147</v>
      </c>
      <c r="G41" s="73">
        <f>Ppto!G168*FM</f>
        <v>34680.073119893692</v>
      </c>
      <c r="H41" s="73">
        <f>Ppto!H168*FM</f>
        <v>46984.606660402744</v>
      </c>
      <c r="I41" s="73">
        <f>Ppto!I168*FM</f>
        <v>38668.479920653495</v>
      </c>
      <c r="J41" s="73">
        <f>Ppto!J168*FM</f>
        <v>41744.07453419712</v>
      </c>
      <c r="K41" s="73">
        <f>Ppto!K168*FM</f>
        <v>42799.117640321027</v>
      </c>
      <c r="L41" s="73">
        <f>Ppto!L168*FM</f>
        <v>57539.336003648699</v>
      </c>
      <c r="M41" s="73">
        <f>Ppto!M168*FM</f>
        <v>47374.831896097319</v>
      </c>
      <c r="N41" s="73">
        <f>Ppto!N168*FM</f>
        <v>51144.883954521065</v>
      </c>
    </row>
    <row r="42" spans="2:14">
      <c r="B42" s="16" t="s">
        <v>121</v>
      </c>
      <c r="D42" s="73">
        <f>Ppto!D185*FM</f>
        <v>0</v>
      </c>
      <c r="E42" s="73">
        <f>Ppto!E185*FM</f>
        <v>3372.4562735310897</v>
      </c>
      <c r="F42" s="73">
        <f>Ppto!F185*FM</f>
        <v>3045.5779680375113</v>
      </c>
      <c r="G42" s="73">
        <f>Ppto!G185*FM</f>
        <v>2716.5438788295246</v>
      </c>
      <c r="H42" s="73">
        <f>Ppto!H185*FM</f>
        <v>2382.9407187518614</v>
      </c>
      <c r="I42" s="73">
        <f>Ppto!I185*FM</f>
        <v>2049.8179672741976</v>
      </c>
      <c r="J42" s="73">
        <f>Ppto!J185*FM</f>
        <v>1719.8363263807346</v>
      </c>
      <c r="K42" s="73">
        <f>Ppto!K185*FM</f>
        <v>1387.6035950039618</v>
      </c>
      <c r="L42" s="73">
        <f>Ppto!L185*FM</f>
        <v>1055.9112579666182</v>
      </c>
      <c r="M42" s="73">
        <f>Ppto!M185*FM</f>
        <v>727.85320157077877</v>
      </c>
      <c r="N42" s="73">
        <f>Ppto!N185*FM</f>
        <v>397.16377020120581</v>
      </c>
    </row>
    <row r="43" spans="2:14">
      <c r="B43" s="73" t="s">
        <v>122</v>
      </c>
      <c r="C43" s="73"/>
      <c r="D43" s="73">
        <f>Ppto!D169+Ppto!D186</f>
        <v>0</v>
      </c>
      <c r="E43" s="73">
        <f>Ppto!E169+Ppto!E186</f>
        <v>1146.0833333333333</v>
      </c>
      <c r="F43" s="73">
        <f>Ppto!F169+Ppto!F186</f>
        <v>1295.0741666666665</v>
      </c>
      <c r="G43" s="73">
        <f>Ppto!G169+Ppto!G186</f>
        <v>1398.6801</v>
      </c>
      <c r="H43" s="73">
        <f>Ppto!H169+Ppto!H186</f>
        <v>1482.6009060000001</v>
      </c>
      <c r="I43" s="73">
        <f>Ppto!I169+Ppto!I186</f>
        <v>1571.5569603600002</v>
      </c>
      <c r="J43" s="73">
        <f>Ppto!J169+Ppto!J186</f>
        <v>1665.8503779816001</v>
      </c>
      <c r="K43" s="73">
        <f>Ppto!K169+Ppto!K186</f>
        <v>1765.8014006604965</v>
      </c>
      <c r="L43" s="73">
        <f>Ppto!L169+Ppto!L186</f>
        <v>1871.7494847001262</v>
      </c>
      <c r="M43" s="73">
        <f>Ppto!M169+Ppto!M186</f>
        <v>1984.0544537821338</v>
      </c>
      <c r="N43" s="73">
        <f>Ppto!N169+Ppto!N186</f>
        <v>2103.0977210090623</v>
      </c>
    </row>
    <row r="44" spans="2:14">
      <c r="B44" s="16" t="s">
        <v>123</v>
      </c>
      <c r="D44" s="73">
        <f t="shared" ref="D44:N44" si="13">-D152</f>
        <v>-14493.326731903602</v>
      </c>
      <c r="E44" s="73">
        <f t="shared" si="13"/>
        <v>185658.2832615739</v>
      </c>
      <c r="F44" s="73">
        <f t="shared" si="13"/>
        <v>232140.08385953857</v>
      </c>
      <c r="G44" s="73">
        <f t="shared" si="13"/>
        <v>259172.25889600802</v>
      </c>
      <c r="H44" s="73">
        <f t="shared" si="13"/>
        <v>263065.39926891442</v>
      </c>
      <c r="I44" s="73">
        <f t="shared" si="13"/>
        <v>310475.62062981608</v>
      </c>
      <c r="J44" s="73">
        <f t="shared" si="13"/>
        <v>337144.77458833228</v>
      </c>
      <c r="K44" s="73">
        <f t="shared" si="13"/>
        <v>361478.93238506612</v>
      </c>
      <c r="L44" s="73">
        <f t="shared" si="13"/>
        <v>358583.74543613731</v>
      </c>
      <c r="M44" s="73">
        <f t="shared" si="13"/>
        <v>407486.45691717119</v>
      </c>
      <c r="N44" s="73">
        <f t="shared" si="13"/>
        <v>430415.69863250642</v>
      </c>
    </row>
    <row r="45" spans="2:14">
      <c r="B45" s="94" t="s">
        <v>124</v>
      </c>
      <c r="C45" s="94"/>
      <c r="D45" s="95">
        <f t="shared" ref="D45:N45" si="14">SUM(D40:D44)</f>
        <v>1658450.6731792551</v>
      </c>
      <c r="E45" s="95">
        <f t="shared" si="14"/>
        <v>1560643.1239165773</v>
      </c>
      <c r="F45" s="95">
        <f t="shared" si="14"/>
        <v>1274001.286501765</v>
      </c>
      <c r="G45" s="95">
        <f t="shared" si="14"/>
        <v>967145.15595919464</v>
      </c>
      <c r="H45" s="95">
        <f t="shared" si="14"/>
        <v>648504.34753630066</v>
      </c>
      <c r="I45" s="95">
        <f t="shared" si="14"/>
        <v>352765.47547810379</v>
      </c>
      <c r="J45" s="95">
        <f t="shared" si="14"/>
        <v>382274.53582689172</v>
      </c>
      <c r="K45" s="95">
        <f t="shared" si="14"/>
        <v>407431.45502105157</v>
      </c>
      <c r="L45" s="95">
        <f t="shared" si="14"/>
        <v>419050.74218245276</v>
      </c>
      <c r="M45" s="95">
        <f t="shared" si="14"/>
        <v>457573.19646862143</v>
      </c>
      <c r="N45" s="95">
        <f t="shared" si="14"/>
        <v>484060.84407823777</v>
      </c>
    </row>
    <row r="47" spans="2:14">
      <c r="B47" s="94" t="s">
        <v>125</v>
      </c>
      <c r="C47" s="94"/>
      <c r="D47" s="95">
        <f t="shared" ref="D47:N47" si="15">D45</f>
        <v>1658450.6731792551</v>
      </c>
      <c r="E47" s="95">
        <f t="shared" si="15"/>
        <v>1560643.1239165773</v>
      </c>
      <c r="F47" s="95">
        <f t="shared" si="15"/>
        <v>1274001.286501765</v>
      </c>
      <c r="G47" s="95">
        <f t="shared" si="15"/>
        <v>967145.15595919464</v>
      </c>
      <c r="H47" s="95">
        <f t="shared" si="15"/>
        <v>648504.34753630066</v>
      </c>
      <c r="I47" s="95">
        <f t="shared" si="15"/>
        <v>352765.47547810379</v>
      </c>
      <c r="J47" s="95">
        <f t="shared" si="15"/>
        <v>382274.53582689172</v>
      </c>
      <c r="K47" s="95">
        <f t="shared" si="15"/>
        <v>407431.45502105157</v>
      </c>
      <c r="L47" s="95">
        <f t="shared" si="15"/>
        <v>419050.74218245276</v>
      </c>
      <c r="M47" s="95">
        <f t="shared" si="15"/>
        <v>457573.19646862143</v>
      </c>
      <c r="N47" s="95">
        <f t="shared" si="15"/>
        <v>484060.84407823777</v>
      </c>
    </row>
    <row r="49" spans="2:28">
      <c r="B49" s="16" t="s">
        <v>82</v>
      </c>
      <c r="D49" s="73">
        <f>C49+Ppto!D267*FM</f>
        <v>2509415.999866738</v>
      </c>
      <c r="E49" s="73">
        <f>D49+Ppto!E267*FM</f>
        <v>2509415.999866738</v>
      </c>
      <c r="F49" s="73">
        <f>E49+Ppto!F267*FM</f>
        <v>2509415.999866738</v>
      </c>
      <c r="G49" s="73">
        <f>F49+Ppto!G267*FM</f>
        <v>2509415.999866738</v>
      </c>
      <c r="H49" s="73">
        <f>G49+Ppto!H267*FM</f>
        <v>2509415.999866738</v>
      </c>
      <c r="I49" s="73">
        <f>H49+Ppto!I267*FM</f>
        <v>2509415.999866738</v>
      </c>
      <c r="J49" s="73">
        <f>I49+Ppto!J267*FM</f>
        <v>2509415.999866738</v>
      </c>
      <c r="K49" s="73">
        <f>J49+Ppto!K267*FM</f>
        <v>2509415.999866738</v>
      </c>
      <c r="L49" s="73">
        <f>K49+Ppto!L267*FM</f>
        <v>2509415.999866738</v>
      </c>
      <c r="M49" s="73">
        <f>L49+Ppto!M267*FM</f>
        <v>2509415.999866738</v>
      </c>
      <c r="N49" s="73">
        <f>M49+Ppto!N267*FM</f>
        <v>2509415.999866738</v>
      </c>
    </row>
    <row r="50" spans="2:28">
      <c r="B50" s="16" t="s">
        <v>126</v>
      </c>
      <c r="D50" s="73"/>
      <c r="E50" s="73">
        <f t="shared" ref="E50:N50" si="16">D50+D51</f>
        <v>-26916.178216392407</v>
      </c>
      <c r="F50" s="73">
        <f t="shared" si="16"/>
        <v>317877.77641224489</v>
      </c>
      <c r="G50" s="73">
        <f t="shared" si="16"/>
        <v>748995.07500853087</v>
      </c>
      <c r="H50" s="73">
        <f t="shared" si="16"/>
        <v>1230314.9843868315</v>
      </c>
      <c r="I50" s="73">
        <f t="shared" si="16"/>
        <v>1718865.0116005298</v>
      </c>
      <c r="J50" s="73">
        <f t="shared" si="16"/>
        <v>2295462.5927701881</v>
      </c>
      <c r="K50" s="73">
        <f t="shared" si="16"/>
        <v>2921588.6027199482</v>
      </c>
      <c r="L50" s="73">
        <f t="shared" si="16"/>
        <v>3592906.6200064998</v>
      </c>
      <c r="M50" s="73">
        <f t="shared" si="16"/>
        <v>4258847.8615307547</v>
      </c>
      <c r="N50" s="73">
        <f t="shared" si="16"/>
        <v>5015608.4243769301</v>
      </c>
    </row>
    <row r="51" spans="2:28">
      <c r="B51" s="16" t="s">
        <v>107</v>
      </c>
      <c r="D51" s="73">
        <f t="shared" ref="D51:N51" si="17">D18</f>
        <v>-26916.178216392407</v>
      </c>
      <c r="E51" s="73">
        <f t="shared" si="17"/>
        <v>344793.95462863729</v>
      </c>
      <c r="F51" s="73">
        <f t="shared" si="17"/>
        <v>431117.29859628598</v>
      </c>
      <c r="G51" s="73">
        <f t="shared" si="17"/>
        <v>481319.90937830065</v>
      </c>
      <c r="H51" s="73">
        <f t="shared" si="17"/>
        <v>488550.02721369831</v>
      </c>
      <c r="I51" s="73">
        <f t="shared" si="17"/>
        <v>576597.58116965846</v>
      </c>
      <c r="J51" s="73">
        <f t="shared" si="17"/>
        <v>626126.00994976005</v>
      </c>
      <c r="K51" s="73">
        <f t="shared" si="17"/>
        <v>671318.01728655142</v>
      </c>
      <c r="L51" s="73">
        <f t="shared" si="17"/>
        <v>665941.24152425514</v>
      </c>
      <c r="M51" s="73">
        <f t="shared" si="17"/>
        <v>756760.56284617516</v>
      </c>
      <c r="N51" s="73">
        <f t="shared" si="17"/>
        <v>799343.44031751202</v>
      </c>
    </row>
    <row r="52" spans="2:28">
      <c r="B52" s="94" t="s">
        <v>127</v>
      </c>
      <c r="C52" s="94"/>
      <c r="D52" s="95">
        <f t="shared" ref="D52:N52" si="18">SUM(D49:D51)</f>
        <v>2482499.8216503458</v>
      </c>
      <c r="E52" s="95">
        <f t="shared" si="18"/>
        <v>2827293.7762789829</v>
      </c>
      <c r="F52" s="95">
        <f t="shared" si="18"/>
        <v>3258411.0748752691</v>
      </c>
      <c r="G52" s="95">
        <f t="shared" si="18"/>
        <v>3739730.9842535695</v>
      </c>
      <c r="H52" s="95">
        <f t="shared" si="18"/>
        <v>4228281.0114672678</v>
      </c>
      <c r="I52" s="95">
        <f t="shared" si="18"/>
        <v>4804878.5926369261</v>
      </c>
      <c r="J52" s="95">
        <f t="shared" si="18"/>
        <v>5431004.6025866866</v>
      </c>
      <c r="K52" s="95">
        <f t="shared" si="18"/>
        <v>6102322.6198732378</v>
      </c>
      <c r="L52" s="95">
        <f t="shared" si="18"/>
        <v>6768263.8613974927</v>
      </c>
      <c r="M52" s="95">
        <f t="shared" si="18"/>
        <v>7525024.4242436681</v>
      </c>
      <c r="N52" s="95">
        <f t="shared" si="18"/>
        <v>8324367.8645611797</v>
      </c>
    </row>
    <row r="54" spans="2:28">
      <c r="B54" s="52" t="s">
        <v>128</v>
      </c>
      <c r="C54" s="52"/>
      <c r="D54" s="77">
        <f t="shared" ref="D54:N54" si="19">D47+D52</f>
        <v>4140950.4948296007</v>
      </c>
      <c r="E54" s="77">
        <f t="shared" si="19"/>
        <v>4387936.9001955604</v>
      </c>
      <c r="F54" s="77">
        <f t="shared" si="19"/>
        <v>4532412.3613770343</v>
      </c>
      <c r="G54" s="77">
        <f t="shared" si="19"/>
        <v>4706876.140212764</v>
      </c>
      <c r="H54" s="77">
        <f t="shared" si="19"/>
        <v>4876785.3590035681</v>
      </c>
      <c r="I54" s="77">
        <f t="shared" si="19"/>
        <v>5157644.0681150295</v>
      </c>
      <c r="J54" s="77">
        <f t="shared" si="19"/>
        <v>5813279.1384135783</v>
      </c>
      <c r="K54" s="77">
        <f t="shared" si="19"/>
        <v>6509754.0748942895</v>
      </c>
      <c r="L54" s="77">
        <f t="shared" si="19"/>
        <v>7187314.6035799459</v>
      </c>
      <c r="M54" s="77">
        <f t="shared" si="19"/>
        <v>7982597.6207122896</v>
      </c>
      <c r="N54" s="77">
        <f t="shared" si="19"/>
        <v>8808428.7086394168</v>
      </c>
    </row>
    <row r="56" spans="2:28">
      <c r="B56" s="96" t="s">
        <v>129</v>
      </c>
      <c r="C56" s="96"/>
      <c r="D56" s="97">
        <f t="shared" ref="D56:N56" si="20">D38-D54</f>
        <v>0</v>
      </c>
      <c r="E56" s="97">
        <f t="shared" si="20"/>
        <v>0</v>
      </c>
      <c r="F56" s="97">
        <f t="shared" si="20"/>
        <v>0</v>
      </c>
      <c r="G56" s="97">
        <f t="shared" si="20"/>
        <v>0</v>
      </c>
      <c r="H56" s="97">
        <f t="shared" si="20"/>
        <v>0</v>
      </c>
      <c r="I56" s="97">
        <f t="shared" si="20"/>
        <v>0</v>
      </c>
      <c r="J56" s="97">
        <f t="shared" si="20"/>
        <v>0</v>
      </c>
      <c r="K56" s="97">
        <f t="shared" si="20"/>
        <v>0</v>
      </c>
      <c r="L56" s="97">
        <f t="shared" si="20"/>
        <v>0</v>
      </c>
      <c r="M56" s="97">
        <f t="shared" si="20"/>
        <v>0</v>
      </c>
      <c r="N56" s="97">
        <f t="shared" si="20"/>
        <v>0</v>
      </c>
    </row>
    <row r="57" spans="2:28">
      <c r="B57" s="98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2:28">
      <c r="B58" s="98" t="s">
        <v>130</v>
      </c>
      <c r="C58" s="98"/>
      <c r="D58" s="100">
        <f>D47/D38*(1-35%)*Ppto!D295+EEFFs!D52/EEFFs!D38*CCPP!$D$12</f>
        <v>0.1661631228193689</v>
      </c>
      <c r="E58" s="100">
        <f>E47/E38*(1-35%)*Ppto!E295+EEFFs!E52/EEFFs!E38*CCPP!$D$12</f>
        <v>0.16197719675905353</v>
      </c>
      <c r="F58" s="100">
        <f>F47/F38*(1-35%)*Ppto!F295+EEFFs!F52/EEFFs!F38*CCPP!$D$12</f>
        <v>0.16080769123182501</v>
      </c>
      <c r="G58" s="100">
        <f>G47/G38*(1-35%)*Ppto!G295+EEFFs!G52/EEFFs!G38*CCPP!$D$12</f>
        <v>0.16712726038487546</v>
      </c>
      <c r="H58" s="100">
        <f>H47/H38*(1-35%)*Ppto!H295+EEFFs!H52/EEFFs!H38*CCPP!$D$12</f>
        <v>0.17461581832854228</v>
      </c>
      <c r="I58" s="100">
        <f>I47/I38*(1-35%)*Ppto!I295+EEFFs!I52/EEFFs!I38*CCPP!$D$12</f>
        <v>0.18140232101626794</v>
      </c>
      <c r="J58" s="100">
        <f>J47/J38*(1-35%)*Ppto!J295+EEFFs!J52/EEFFs!J38*CCPP!$D$12</f>
        <v>0.18167951192124579</v>
      </c>
      <c r="K58" s="100">
        <f>K47/K38*(1-35%)*Ppto!K295+EEFFs!K52/EEFFs!K38*CCPP!$D$12</f>
        <v>0.18201273646156652</v>
      </c>
      <c r="L58" s="100">
        <f>L47/L38*(1-35%)*Ppto!L295+EEFFs!L52/EEFFs!L38*CCPP!$D$12</f>
        <v>0.18246288038228969</v>
      </c>
      <c r="M58" s="100">
        <f>M47/M38*(1-35%)*Ppto!M295+EEFFs!M52/EEFFs!M38*CCPP!$D$12</f>
        <v>0.18256616564131942</v>
      </c>
      <c r="N58" s="100">
        <f>N47/N38*(1-35%)*Ppto!N295+EEFFs!N52/EEFFs!N38*CCPP!$D$12</f>
        <v>0.18281490788326488</v>
      </c>
    </row>
    <row r="60" spans="2:28">
      <c r="B60" s="14" t="str">
        <f>B$2</f>
        <v>Solución Empresa ABC SAS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28">
      <c r="B61" s="14" t="s">
        <v>131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28">
      <c r="B62" s="13" t="str">
        <f>B$4</f>
        <v>Valores en Miles de pesos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28">
      <c r="D63" s="21">
        <f t="shared" ref="D63:N63" si="21">D$6</f>
        <v>2023</v>
      </c>
      <c r="E63" s="21">
        <f t="shared" si="21"/>
        <v>2024</v>
      </c>
      <c r="F63" s="21">
        <f t="shared" si="21"/>
        <v>2025</v>
      </c>
      <c r="G63" s="21">
        <f t="shared" si="21"/>
        <v>2026</v>
      </c>
      <c r="H63" s="21">
        <f t="shared" si="21"/>
        <v>2027</v>
      </c>
      <c r="I63" s="21">
        <f t="shared" si="21"/>
        <v>2028</v>
      </c>
      <c r="J63" s="21">
        <f t="shared" si="21"/>
        <v>2029</v>
      </c>
      <c r="K63" s="21">
        <f t="shared" si="21"/>
        <v>2030</v>
      </c>
      <c r="L63" s="21">
        <f t="shared" si="21"/>
        <v>2031</v>
      </c>
      <c r="M63" s="21">
        <f t="shared" si="21"/>
        <v>2032</v>
      </c>
      <c r="N63" s="21">
        <f t="shared" si="21"/>
        <v>2033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2:28">
      <c r="Q64" s="101"/>
    </row>
    <row r="65" spans="2:17">
      <c r="B65" s="16" t="s">
        <v>48</v>
      </c>
      <c r="D65" s="73">
        <f>Ppto!D146*FM</f>
        <v>0</v>
      </c>
      <c r="E65" s="73">
        <f>Ppto!E146*FM</f>
        <v>1248834.9016983917</v>
      </c>
      <c r="F65" s="73">
        <f>Ppto!F146*FM</f>
        <v>1498601.8820380699</v>
      </c>
      <c r="G65" s="73">
        <f>Ppto!G146*FM</f>
        <v>1498601.8820380699</v>
      </c>
      <c r="H65" s="73">
        <f>Ppto!H146*FM</f>
        <v>1498601.8820380699</v>
      </c>
      <c r="I65" s="73">
        <f>Ppto!I146*FM</f>
        <v>1498601.8820380699</v>
      </c>
      <c r="J65" s="73">
        <f>Ppto!J146*FM</f>
        <v>1498601.8820380699</v>
      </c>
      <c r="K65" s="73">
        <f>Ppto!K146*FM</f>
        <v>1498601.8820380699</v>
      </c>
      <c r="L65" s="73">
        <f>Ppto!L146*FM</f>
        <v>1498601.8820380699</v>
      </c>
      <c r="M65" s="73">
        <f>Ppto!M146*FM</f>
        <v>1498601.8820380699</v>
      </c>
      <c r="N65" s="73">
        <f>Ppto!N146*FM</f>
        <v>1498601.8820380699</v>
      </c>
    </row>
    <row r="66" spans="2:17">
      <c r="B66" s="16" t="s">
        <v>132</v>
      </c>
      <c r="D66" s="73">
        <f>Ppto!D267*FM</f>
        <v>2509415.999866738</v>
      </c>
      <c r="E66" s="73">
        <f>Ppto!E267*FM</f>
        <v>0</v>
      </c>
      <c r="F66" s="73">
        <f>Ppto!F267*FM</f>
        <v>0</v>
      </c>
      <c r="G66" s="73">
        <f>Ppto!G267*FM</f>
        <v>0</v>
      </c>
      <c r="H66" s="73">
        <f>Ppto!H267*FM</f>
        <v>0</v>
      </c>
      <c r="I66" s="73">
        <f>Ppto!I267*FM</f>
        <v>0</v>
      </c>
      <c r="J66" s="73">
        <f>Ppto!J267*FM</f>
        <v>0</v>
      </c>
      <c r="K66" s="73">
        <f>Ppto!K267*FM</f>
        <v>0</v>
      </c>
      <c r="L66" s="73">
        <f>Ppto!L267*FM</f>
        <v>0</v>
      </c>
      <c r="M66" s="73">
        <f>Ppto!M267*FM</f>
        <v>0</v>
      </c>
      <c r="N66" s="73">
        <f>Ppto!N267*FM</f>
        <v>0</v>
      </c>
    </row>
    <row r="67" spans="2:17">
      <c r="B67" s="16" t="s">
        <v>133</v>
      </c>
      <c r="D67" s="73">
        <f>Ppto!D268*FM</f>
        <v>1672943.9999111588</v>
      </c>
      <c r="E67" s="73">
        <f>Ppto!E268*FM</f>
        <v>0</v>
      </c>
      <c r="F67" s="73">
        <f>Ppto!F268*FM</f>
        <v>0</v>
      </c>
      <c r="G67" s="73">
        <f>Ppto!G268*FM</f>
        <v>0</v>
      </c>
      <c r="H67" s="73">
        <f>Ppto!H268*FM</f>
        <v>0</v>
      </c>
      <c r="I67" s="73">
        <f>Ppto!I268*FM</f>
        <v>0</v>
      </c>
      <c r="J67" s="73">
        <f>Ppto!J268*FM</f>
        <v>0</v>
      </c>
      <c r="K67" s="73">
        <f>Ppto!K268*FM</f>
        <v>0</v>
      </c>
      <c r="L67" s="73">
        <f>Ppto!L268*FM</f>
        <v>0</v>
      </c>
      <c r="M67" s="73">
        <f>Ppto!M268*FM</f>
        <v>0</v>
      </c>
      <c r="N67" s="73">
        <f>Ppto!N268*FM</f>
        <v>0</v>
      </c>
      <c r="Q67" s="62"/>
    </row>
    <row r="68" spans="2:17">
      <c r="B68" s="16" t="s">
        <v>103</v>
      </c>
      <c r="D68" s="73">
        <f t="shared" ref="D68:N68" si="22">D81</f>
        <v>0</v>
      </c>
      <c r="E68" s="73">
        <f t="shared" si="22"/>
        <v>0</v>
      </c>
      <c r="F68" s="73">
        <f t="shared" si="22"/>
        <v>34311.55455929217</v>
      </c>
      <c r="G68" s="73">
        <f t="shared" si="22"/>
        <v>60769.011210658762</v>
      </c>
      <c r="H68" s="73">
        <f t="shared" si="22"/>
        <v>99803.643118326101</v>
      </c>
      <c r="I68" s="73">
        <f t="shared" si="22"/>
        <v>140517.78115902626</v>
      </c>
      <c r="J68" s="73">
        <f t="shared" si="22"/>
        <v>190487.84478652885</v>
      </c>
      <c r="K68" s="73">
        <f t="shared" si="22"/>
        <v>264911.35806641384</v>
      </c>
      <c r="L68" s="73">
        <f t="shared" si="22"/>
        <v>343643.15150765789</v>
      </c>
      <c r="M68" s="73">
        <f t="shared" si="22"/>
        <v>421136.78224652173</v>
      </c>
      <c r="N68" s="73">
        <f t="shared" si="22"/>
        <v>508330.29297606548</v>
      </c>
    </row>
    <row r="69" spans="2:17">
      <c r="B69" s="52" t="s">
        <v>134</v>
      </c>
      <c r="C69" s="52"/>
      <c r="D69" s="77">
        <f t="shared" ref="D69:N69" si="23">SUM(D65:D68)</f>
        <v>4182359.9997778968</v>
      </c>
      <c r="E69" s="77">
        <f t="shared" si="23"/>
        <v>1248834.9016983917</v>
      </c>
      <c r="F69" s="77">
        <f t="shared" si="23"/>
        <v>1532913.4365973622</v>
      </c>
      <c r="G69" s="77">
        <f t="shared" si="23"/>
        <v>1559370.8932487287</v>
      </c>
      <c r="H69" s="77">
        <f t="shared" si="23"/>
        <v>1598405.525156396</v>
      </c>
      <c r="I69" s="77">
        <f t="shared" si="23"/>
        <v>1639119.6631970962</v>
      </c>
      <c r="J69" s="77">
        <f t="shared" si="23"/>
        <v>1689089.7268245989</v>
      </c>
      <c r="K69" s="77">
        <f t="shared" si="23"/>
        <v>1763513.2401044837</v>
      </c>
      <c r="L69" s="77">
        <f t="shared" si="23"/>
        <v>1842245.0335457278</v>
      </c>
      <c r="M69" s="77">
        <f t="shared" si="23"/>
        <v>1919738.6642845916</v>
      </c>
      <c r="N69" s="77">
        <f t="shared" si="23"/>
        <v>2006932.1750141354</v>
      </c>
      <c r="Q69" s="101"/>
    </row>
    <row r="71" spans="2:17">
      <c r="B71" s="16" t="s">
        <v>135</v>
      </c>
      <c r="D71" s="73">
        <f>-Ppto!D170*FM</f>
        <v>0</v>
      </c>
      <c r="E71" s="73">
        <f>-Ppto!E170*FM</f>
        <v>-170693.71392939438</v>
      </c>
      <c r="F71" s="73">
        <f>-Ppto!F170*FM</f>
        <v>-212778.82100668125</v>
      </c>
      <c r="G71" s="73">
        <f>-Ppto!G170*FM</f>
        <v>-220025.28019362892</v>
      </c>
      <c r="H71" s="73">
        <f>-Ppto!H170*FM</f>
        <v>-283256.07818890741</v>
      </c>
      <c r="I71" s="73">
        <f>-Ppto!I170*FM</f>
        <v>-254799.15633669024</v>
      </c>
      <c r="J71" s="73">
        <f>-Ppto!J170*FM</f>
        <v>-262729.33166904026</v>
      </c>
      <c r="K71" s="73">
        <f>-Ppto!K170*FM</f>
        <v>-272000.57055784756</v>
      </c>
      <c r="L71" s="73">
        <f>-Ppto!L170*FM</f>
        <v>-347732.35994993255</v>
      </c>
      <c r="M71" s="73">
        <f>-Ppto!M170*FM</f>
        <v>-312684.25151298544</v>
      </c>
      <c r="N71" s="73">
        <f>-Ppto!N170*FM</f>
        <v>-322466.25305928371</v>
      </c>
    </row>
    <row r="72" spans="2:17">
      <c r="B72" s="16" t="s">
        <v>136</v>
      </c>
      <c r="D72" s="73">
        <f>-Ppto!D187*FM</f>
        <v>-41409.504948296009</v>
      </c>
      <c r="E72" s="73">
        <f>-Ppto!E187*FM</f>
        <v>-53318.72734217532</v>
      </c>
      <c r="F72" s="73">
        <f>-Ppto!F187*FM</f>
        <v>-55909.636005277047</v>
      </c>
      <c r="G72" s="73">
        <f>-Ppto!G187*FM</f>
        <v>-53521.513068495617</v>
      </c>
      <c r="H72" s="73">
        <f>-Ppto!H187*FM</f>
        <v>-50774.420956100003</v>
      </c>
      <c r="I72" s="73">
        <f>-Ppto!I187*FM</f>
        <v>-48087.199280028035</v>
      </c>
      <c r="J72" s="73">
        <f>-Ppto!J187*FM</f>
        <v>-45513.654133997887</v>
      </c>
      <c r="K72" s="73">
        <f>-Ppto!K187*FM</f>
        <v>-43001.850642552054</v>
      </c>
      <c r="L72" s="73">
        <f>-Ppto!L187*FM</f>
        <v>-40582.104690032174</v>
      </c>
      <c r="M72" s="73">
        <f>-Ppto!M187*FM</f>
        <v>-38296.542368084323</v>
      </c>
      <c r="N72" s="73">
        <f>-Ppto!N187*FM</f>
        <v>-36084.955320193527</v>
      </c>
    </row>
    <row r="73" spans="2:17">
      <c r="B73" s="16" t="s">
        <v>30</v>
      </c>
      <c r="D73" s="73">
        <f>-Ppto!D198*FM</f>
        <v>-4140950.4948296007</v>
      </c>
      <c r="E73" s="73">
        <f>-Ppto!E198*FM</f>
        <v>0</v>
      </c>
      <c r="F73" s="73">
        <f>-Ppto!F198*FM</f>
        <v>0</v>
      </c>
      <c r="G73" s="73">
        <f>-Ppto!G198*FM</f>
        <v>-2704.6095427086843</v>
      </c>
      <c r="H73" s="73">
        <f>-Ppto!H198*FM</f>
        <v>0</v>
      </c>
      <c r="I73" s="73">
        <f>-Ppto!I198*FM</f>
        <v>0</v>
      </c>
      <c r="J73" s="73">
        <f>-Ppto!J198*FM</f>
        <v>-3169.7827682415877</v>
      </c>
      <c r="K73" s="73">
        <f>-Ppto!K198*FM</f>
        <v>0</v>
      </c>
      <c r="L73" s="73">
        <f>-Ppto!L198*FM</f>
        <v>0</v>
      </c>
      <c r="M73" s="73">
        <f>-Ppto!M198*FM</f>
        <v>-3686.7246341957857</v>
      </c>
      <c r="N73" s="73">
        <f>-Ppto!N198*FM</f>
        <v>0</v>
      </c>
      <c r="Q73" s="62"/>
    </row>
    <row r="74" spans="2:17">
      <c r="B74" s="16" t="s">
        <v>88</v>
      </c>
      <c r="D74" s="73">
        <f>Ppto!D282*FM</f>
        <v>0</v>
      </c>
      <c r="E74" s="73">
        <f>Ppto!E282*FM</f>
        <v>-627393.39554015058</v>
      </c>
      <c r="F74" s="73">
        <f>Ppto!F282*FM</f>
        <v>-519388.26855006278</v>
      </c>
      <c r="G74" s="73">
        <f>Ppto!G282*FM</f>
        <v>-464517.27069904178</v>
      </c>
      <c r="H74" s="73">
        <f>Ppto!H282*FM</f>
        <v>-420557.49823137978</v>
      </c>
      <c r="I74" s="73">
        <f>Ppto!I282*FM</f>
        <v>-377573.14910680574</v>
      </c>
      <c r="J74" s="73">
        <f>Ppto!J282*FM</f>
        <v>0</v>
      </c>
      <c r="K74" s="73">
        <f>Ppto!K282*FM</f>
        <v>0</v>
      </c>
      <c r="L74" s="73">
        <f>Ppto!L282*FM</f>
        <v>0</v>
      </c>
      <c r="M74" s="73">
        <f>Ppto!M282*FM</f>
        <v>0</v>
      </c>
      <c r="N74" s="73">
        <f>Ppto!N282*FM</f>
        <v>0</v>
      </c>
    </row>
    <row r="75" spans="2:17">
      <c r="B75" s="16" t="s">
        <v>137</v>
      </c>
      <c r="D75" s="73">
        <f t="shared" ref="D75:N75" si="24">D153</f>
        <v>0</v>
      </c>
      <c r="E75" s="73">
        <f t="shared" si="24"/>
        <v>25363.321780831291</v>
      </c>
      <c r="F75" s="73">
        <f t="shared" si="24"/>
        <v>-335771.990756682</v>
      </c>
      <c r="G75" s="73">
        <f t="shared" si="24"/>
        <v>-267001.43430801202</v>
      </c>
      <c r="H75" s="73">
        <f t="shared" si="24"/>
        <v>-279446.39017336007</v>
      </c>
      <c r="I75" s="73">
        <f t="shared" si="24"/>
        <v>-265985.25454859418</v>
      </c>
      <c r="J75" s="73">
        <f t="shared" si="24"/>
        <v>-346033.28665049234</v>
      </c>
      <c r="K75" s="73">
        <f t="shared" si="24"/>
        <v>-357146.64005721943</v>
      </c>
      <c r="L75" s="73">
        <f t="shared" si="24"/>
        <v>-379729.55073261651</v>
      </c>
      <c r="M75" s="73">
        <f t="shared" si="24"/>
        <v>-356412.35522444069</v>
      </c>
      <c r="N75" s="73">
        <f t="shared" si="24"/>
        <v>-444163.49052794662</v>
      </c>
      <c r="Q75" s="101"/>
    </row>
    <row r="76" spans="2:17">
      <c r="B76" s="52" t="s">
        <v>138</v>
      </c>
      <c r="C76" s="52"/>
      <c r="D76" s="77">
        <f t="shared" ref="D76:N76" si="25">SUM(D71:D75)</f>
        <v>-4182359.9997778968</v>
      </c>
      <c r="E76" s="77">
        <f t="shared" si="25"/>
        <v>-826042.51503088896</v>
      </c>
      <c r="F76" s="77">
        <f t="shared" si="25"/>
        <v>-1123848.7163187033</v>
      </c>
      <c r="G76" s="77">
        <f t="shared" si="25"/>
        <v>-1007770.1078118871</v>
      </c>
      <c r="H76" s="77">
        <f t="shared" si="25"/>
        <v>-1034034.3875497472</v>
      </c>
      <c r="I76" s="77">
        <f t="shared" si="25"/>
        <v>-946444.7592721181</v>
      </c>
      <c r="J76" s="77">
        <f t="shared" si="25"/>
        <v>-657446.05522177205</v>
      </c>
      <c r="K76" s="77">
        <f t="shared" si="25"/>
        <v>-672149.06125761906</v>
      </c>
      <c r="L76" s="77">
        <f t="shared" si="25"/>
        <v>-768044.01537258131</v>
      </c>
      <c r="M76" s="77">
        <f t="shared" si="25"/>
        <v>-711079.87373970624</v>
      </c>
      <c r="N76" s="77">
        <f t="shared" si="25"/>
        <v>-802714.69890742388</v>
      </c>
    </row>
    <row r="78" spans="2:17">
      <c r="B78" s="52" t="s">
        <v>139</v>
      </c>
      <c r="C78" s="52"/>
      <c r="D78" s="77">
        <f t="shared" ref="D78:N78" si="26">D69+D76</f>
        <v>0</v>
      </c>
      <c r="E78" s="77">
        <f t="shared" si="26"/>
        <v>422792.38666750269</v>
      </c>
      <c r="F78" s="77">
        <f t="shared" si="26"/>
        <v>409064.7202786589</v>
      </c>
      <c r="G78" s="77">
        <f t="shared" si="26"/>
        <v>551600.78543684166</v>
      </c>
      <c r="H78" s="77">
        <f t="shared" si="26"/>
        <v>564371.13760664873</v>
      </c>
      <c r="I78" s="77">
        <f t="shared" si="26"/>
        <v>692674.90392497811</v>
      </c>
      <c r="J78" s="77">
        <f t="shared" si="26"/>
        <v>1031643.6716028268</v>
      </c>
      <c r="K78" s="77">
        <f t="shared" si="26"/>
        <v>1091364.1788468645</v>
      </c>
      <c r="L78" s="77">
        <f t="shared" si="26"/>
        <v>1074201.0181731465</v>
      </c>
      <c r="M78" s="77">
        <f t="shared" si="26"/>
        <v>1208658.7905448852</v>
      </c>
      <c r="N78" s="77">
        <f t="shared" si="26"/>
        <v>1204217.4761067117</v>
      </c>
    </row>
    <row r="79" spans="2:17">
      <c r="B79" s="16" t="s">
        <v>140</v>
      </c>
      <c r="E79" s="73">
        <f t="shared" ref="E79:N79" si="27">D80</f>
        <v>0</v>
      </c>
      <c r="F79" s="73">
        <f t="shared" si="27"/>
        <v>422792.38666750269</v>
      </c>
      <c r="G79" s="73">
        <f t="shared" si="27"/>
        <v>831857.1069461616</v>
      </c>
      <c r="H79" s="73">
        <f t="shared" si="27"/>
        <v>1383457.8923830031</v>
      </c>
      <c r="I79" s="73">
        <f t="shared" si="27"/>
        <v>1947829.0299896519</v>
      </c>
      <c r="J79" s="73">
        <f t="shared" si="27"/>
        <v>2640503.9339146297</v>
      </c>
      <c r="K79" s="73">
        <f t="shared" si="27"/>
        <v>3672147.6055174563</v>
      </c>
      <c r="L79" s="73">
        <f t="shared" si="27"/>
        <v>4763511.7843643203</v>
      </c>
      <c r="M79" s="73">
        <f t="shared" si="27"/>
        <v>5837712.8025374673</v>
      </c>
      <c r="N79" s="73">
        <f t="shared" si="27"/>
        <v>7046371.5930823525</v>
      </c>
      <c r="Q79" s="62"/>
    </row>
    <row r="80" spans="2:17">
      <c r="B80" s="52" t="s">
        <v>141</v>
      </c>
      <c r="C80" s="52"/>
      <c r="D80" s="77">
        <f t="shared" ref="D80:N80" si="28">SUM(D78:D79)</f>
        <v>0</v>
      </c>
      <c r="E80" s="77">
        <f t="shared" si="28"/>
        <v>422792.38666750269</v>
      </c>
      <c r="F80" s="77">
        <f t="shared" si="28"/>
        <v>831857.1069461616</v>
      </c>
      <c r="G80" s="77">
        <f t="shared" si="28"/>
        <v>1383457.8923830031</v>
      </c>
      <c r="H80" s="77">
        <f t="shared" si="28"/>
        <v>1947829.0299896519</v>
      </c>
      <c r="I80" s="77">
        <f t="shared" si="28"/>
        <v>2640503.9339146297</v>
      </c>
      <c r="J80" s="77">
        <f t="shared" si="28"/>
        <v>3672147.6055174563</v>
      </c>
      <c r="K80" s="77">
        <f t="shared" si="28"/>
        <v>4763511.7843643203</v>
      </c>
      <c r="L80" s="77">
        <f t="shared" si="28"/>
        <v>5837712.8025374673</v>
      </c>
      <c r="M80" s="77">
        <f t="shared" si="28"/>
        <v>7046371.5930823525</v>
      </c>
      <c r="N80" s="77">
        <f t="shared" si="28"/>
        <v>8250589.0691890642</v>
      </c>
    </row>
    <row r="81" spans="1:17">
      <c r="A81" s="15" t="s">
        <v>142</v>
      </c>
      <c r="B81" s="16" t="s">
        <v>103</v>
      </c>
      <c r="D81" s="73">
        <f t="shared" ref="D81:N81" si="29">C80*D83</f>
        <v>0</v>
      </c>
      <c r="E81" s="73">
        <f t="shared" si="29"/>
        <v>0</v>
      </c>
      <c r="F81" s="73">
        <f t="shared" si="29"/>
        <v>34311.55455929217</v>
      </c>
      <c r="G81" s="73">
        <f t="shared" si="29"/>
        <v>60769.011210658762</v>
      </c>
      <c r="H81" s="73">
        <f t="shared" si="29"/>
        <v>99803.643118326101</v>
      </c>
      <c r="I81" s="73">
        <f t="shared" si="29"/>
        <v>140517.78115902626</v>
      </c>
      <c r="J81" s="73">
        <f t="shared" si="29"/>
        <v>190487.84478652885</v>
      </c>
      <c r="K81" s="73">
        <f t="shared" si="29"/>
        <v>264911.35806641384</v>
      </c>
      <c r="L81" s="73">
        <f t="shared" si="29"/>
        <v>343643.15150765789</v>
      </c>
      <c r="M81" s="73">
        <f t="shared" si="29"/>
        <v>421136.78224652173</v>
      </c>
      <c r="N81" s="73">
        <f t="shared" si="29"/>
        <v>508330.29297606548</v>
      </c>
      <c r="Q81" s="101"/>
    </row>
    <row r="83" spans="1:17">
      <c r="B83" s="16" t="str">
        <f>"Tasa de Colocación "&amp;Macro!B44</f>
        <v>Tasa de Colocación Corto Plazo</v>
      </c>
      <c r="D83" s="102">
        <f>Macro!C44</f>
        <v>0.14294164559547085</v>
      </c>
      <c r="E83" s="102">
        <f>Macro!D44</f>
        <v>0.11579451712670008</v>
      </c>
      <c r="F83" s="102">
        <f>Macro!E44</f>
        <v>8.1154617824932274E-2</v>
      </c>
      <c r="G83" s="102">
        <f>Macro!F44</f>
        <v>7.3052223396574023E-2</v>
      </c>
      <c r="H83" s="102">
        <f>Macro!G44</f>
        <v>7.2140716148877182E-2</v>
      </c>
      <c r="I83" s="102">
        <f>Macro!H44</f>
        <v>7.2140716148877182E-2</v>
      </c>
      <c r="J83" s="102">
        <f>Macro!I44</f>
        <v>7.2140716148877182E-2</v>
      </c>
      <c r="K83" s="102">
        <f>Macro!J44</f>
        <v>7.2140716148877182E-2</v>
      </c>
      <c r="L83" s="102">
        <f>Macro!K44</f>
        <v>7.2140716148877182E-2</v>
      </c>
      <c r="M83" s="102">
        <f>Macro!L44</f>
        <v>7.2140716148877182E-2</v>
      </c>
      <c r="N83" s="102">
        <f>Macro!M44</f>
        <v>7.2140716148877182E-2</v>
      </c>
    </row>
    <row r="85" spans="1:17">
      <c r="B85" s="14" t="str">
        <f>B$2</f>
        <v>Solución Empresa ABC SAS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Q85" s="62"/>
    </row>
    <row r="86" spans="1:17">
      <c r="B86" s="14" t="s">
        <v>143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7">
      <c r="B87" s="13" t="str">
        <f>B$4</f>
        <v>Valores en Miles de pesos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7">
      <c r="D88" s="21">
        <f t="shared" ref="D88:N88" si="30">D$6</f>
        <v>2023</v>
      </c>
      <c r="E88" s="21">
        <f t="shared" si="30"/>
        <v>2024</v>
      </c>
      <c r="F88" s="21">
        <f t="shared" si="30"/>
        <v>2025</v>
      </c>
      <c r="G88" s="21">
        <f t="shared" si="30"/>
        <v>2026</v>
      </c>
      <c r="H88" s="21">
        <f t="shared" si="30"/>
        <v>2027</v>
      </c>
      <c r="I88" s="21">
        <f t="shared" si="30"/>
        <v>2028</v>
      </c>
      <c r="J88" s="21">
        <f t="shared" si="30"/>
        <v>2029</v>
      </c>
      <c r="K88" s="21">
        <f t="shared" si="30"/>
        <v>2030</v>
      </c>
      <c r="L88" s="21">
        <f t="shared" si="30"/>
        <v>2031</v>
      </c>
      <c r="M88" s="21">
        <f t="shared" si="30"/>
        <v>2032</v>
      </c>
      <c r="N88" s="21">
        <f t="shared" si="30"/>
        <v>2033</v>
      </c>
    </row>
    <row r="90" spans="1:17">
      <c r="B90" s="16" t="str">
        <f>B28</f>
        <v>Cuentas por Cobrar</v>
      </c>
      <c r="D90" s="73">
        <f t="shared" ref="D90:N90" si="31">D28</f>
        <v>0</v>
      </c>
      <c r="E90" s="73">
        <f t="shared" si="31"/>
        <v>249766.9803396783</v>
      </c>
      <c r="F90" s="73">
        <f t="shared" si="31"/>
        <v>249766.9803396783</v>
      </c>
      <c r="G90" s="73">
        <f t="shared" si="31"/>
        <v>249766.9803396783</v>
      </c>
      <c r="H90" s="73">
        <f t="shared" si="31"/>
        <v>249766.9803396783</v>
      </c>
      <c r="I90" s="73">
        <f t="shared" si="31"/>
        <v>249766.9803396783</v>
      </c>
      <c r="J90" s="73">
        <f t="shared" si="31"/>
        <v>249766.9803396783</v>
      </c>
      <c r="K90" s="73">
        <f t="shared" si="31"/>
        <v>249766.9803396783</v>
      </c>
      <c r="L90" s="73">
        <f t="shared" si="31"/>
        <v>249766.9803396783</v>
      </c>
      <c r="M90" s="73">
        <f t="shared" si="31"/>
        <v>249766.9803396783</v>
      </c>
      <c r="N90" s="73">
        <f t="shared" si="31"/>
        <v>249766.9803396783</v>
      </c>
    </row>
    <row r="91" spans="1:17">
      <c r="B91" s="16" t="str">
        <f>B29</f>
        <v>Inventario</v>
      </c>
      <c r="D91" s="73">
        <f t="shared" ref="D91:N91" si="32">D29</f>
        <v>0</v>
      </c>
      <c r="E91" s="73">
        <f t="shared" si="32"/>
        <v>0</v>
      </c>
      <c r="F91" s="73">
        <f t="shared" si="32"/>
        <v>0</v>
      </c>
      <c r="G91" s="73">
        <f t="shared" si="32"/>
        <v>0</v>
      </c>
      <c r="H91" s="73">
        <f t="shared" si="32"/>
        <v>0</v>
      </c>
      <c r="I91" s="73">
        <f t="shared" si="32"/>
        <v>0</v>
      </c>
      <c r="J91" s="73">
        <f t="shared" si="32"/>
        <v>0</v>
      </c>
      <c r="K91" s="73">
        <f t="shared" si="32"/>
        <v>0</v>
      </c>
      <c r="L91" s="73">
        <f t="shared" si="32"/>
        <v>0</v>
      </c>
      <c r="M91" s="73">
        <f t="shared" si="32"/>
        <v>0</v>
      </c>
      <c r="N91" s="73">
        <f t="shared" si="32"/>
        <v>0</v>
      </c>
    </row>
    <row r="92" spans="1:17">
      <c r="B92" s="16" t="str">
        <f>B127</f>
        <v>Anticipo de Impuestos Operativos</v>
      </c>
      <c r="D92" s="73">
        <f t="shared" ref="D92:N92" si="33">-D127</f>
        <v>0</v>
      </c>
      <c r="E92" s="73">
        <f t="shared" si="33"/>
        <v>-10869.995048927702</v>
      </c>
      <c r="F92" s="73">
        <f t="shared" si="33"/>
        <v>216104.91878013412</v>
      </c>
      <c r="G92" s="73">
        <f t="shared" si="33"/>
        <v>213608.14032189536</v>
      </c>
      <c r="H92" s="73">
        <f t="shared" si="33"/>
        <v>212533.5522923707</v>
      </c>
      <c r="I92" s="73">
        <f t="shared" si="33"/>
        <v>193667.37642352661</v>
      </c>
      <c r="J92" s="73">
        <f t="shared" si="33"/>
        <v>207254.18956331833</v>
      </c>
      <c r="K92" s="73">
        <f t="shared" si="33"/>
        <v>202855.52168478543</v>
      </c>
      <c r="L92" s="73">
        <f t="shared" si="33"/>
        <v>201569.96779636593</v>
      </c>
      <c r="M92" s="73">
        <f t="shared" si="33"/>
        <v>178731.48180634281</v>
      </c>
      <c r="N92" s="73">
        <f t="shared" si="33"/>
        <v>195066.43734816645</v>
      </c>
    </row>
    <row r="93" spans="1:17">
      <c r="B93" s="16" t="str">
        <f>B41</f>
        <v>Cuentas por Pagar (Costo)</v>
      </c>
      <c r="D93" s="73">
        <f t="shared" ref="D93:N93" si="34">-D41</f>
        <v>0</v>
      </c>
      <c r="E93" s="73">
        <f t="shared" si="34"/>
        <v>-32111.10111921221</v>
      </c>
      <c r="F93" s="73">
        <f t="shared" si="34"/>
        <v>-33754.150560827147</v>
      </c>
      <c r="G93" s="73">
        <f t="shared" si="34"/>
        <v>-34680.073119893692</v>
      </c>
      <c r="H93" s="73">
        <f t="shared" si="34"/>
        <v>-46984.606660402744</v>
      </c>
      <c r="I93" s="73">
        <f t="shared" si="34"/>
        <v>-38668.479920653495</v>
      </c>
      <c r="J93" s="73">
        <f t="shared" si="34"/>
        <v>-41744.07453419712</v>
      </c>
      <c r="K93" s="73">
        <f t="shared" si="34"/>
        <v>-42799.117640321027</v>
      </c>
      <c r="L93" s="73">
        <f t="shared" si="34"/>
        <v>-57539.336003648699</v>
      </c>
      <c r="M93" s="73">
        <f t="shared" si="34"/>
        <v>-47374.831896097319</v>
      </c>
      <c r="N93" s="73">
        <f t="shared" si="34"/>
        <v>-51144.883954521065</v>
      </c>
    </row>
    <row r="94" spans="1:17">
      <c r="B94" s="16" t="str">
        <f>B42</f>
        <v>Cuentas por Pagar (Gasto)</v>
      </c>
      <c r="D94" s="73">
        <f t="shared" ref="D94:N94" si="35">-D42</f>
        <v>0</v>
      </c>
      <c r="E94" s="73">
        <f t="shared" si="35"/>
        <v>-3372.4562735310897</v>
      </c>
      <c r="F94" s="73">
        <f t="shared" si="35"/>
        <v>-3045.5779680375113</v>
      </c>
      <c r="G94" s="73">
        <f t="shared" si="35"/>
        <v>-2716.5438788295246</v>
      </c>
      <c r="H94" s="73">
        <f t="shared" si="35"/>
        <v>-2382.9407187518614</v>
      </c>
      <c r="I94" s="73">
        <f t="shared" si="35"/>
        <v>-2049.8179672741976</v>
      </c>
      <c r="J94" s="73">
        <f t="shared" si="35"/>
        <v>-1719.8363263807346</v>
      </c>
      <c r="K94" s="73">
        <f t="shared" si="35"/>
        <v>-1387.6035950039618</v>
      </c>
      <c r="L94" s="73">
        <f t="shared" si="35"/>
        <v>-1055.9112579666182</v>
      </c>
      <c r="M94" s="73">
        <f t="shared" si="35"/>
        <v>-727.85320157077877</v>
      </c>
      <c r="N94" s="73">
        <f t="shared" si="35"/>
        <v>-397.16377020120581</v>
      </c>
    </row>
    <row r="95" spans="1:17">
      <c r="B95" s="16" t="str">
        <f>B43</f>
        <v>Beneficios de Empleados</v>
      </c>
      <c r="D95" s="73">
        <f t="shared" ref="D95:N95" si="36">-D43</f>
        <v>0</v>
      </c>
      <c r="E95" s="73">
        <f t="shared" si="36"/>
        <v>-1146.0833333333333</v>
      </c>
      <c r="F95" s="73">
        <f t="shared" si="36"/>
        <v>-1295.0741666666665</v>
      </c>
      <c r="G95" s="73">
        <f t="shared" si="36"/>
        <v>-1398.6801</v>
      </c>
      <c r="H95" s="73">
        <f t="shared" si="36"/>
        <v>-1482.6009060000001</v>
      </c>
      <c r="I95" s="73">
        <f t="shared" si="36"/>
        <v>-1571.5569603600002</v>
      </c>
      <c r="J95" s="73">
        <f t="shared" si="36"/>
        <v>-1665.8503779816001</v>
      </c>
      <c r="K95" s="73">
        <f t="shared" si="36"/>
        <v>-1765.8014006604965</v>
      </c>
      <c r="L95" s="73">
        <f t="shared" si="36"/>
        <v>-1871.7494847001262</v>
      </c>
      <c r="M95" s="73">
        <f t="shared" si="36"/>
        <v>-1984.0544537821338</v>
      </c>
      <c r="N95" s="73">
        <f t="shared" si="36"/>
        <v>-2103.0977210090623</v>
      </c>
    </row>
    <row r="96" spans="1:17">
      <c r="B96" s="16" t="str">
        <f>B128</f>
        <v>Impuestos por Pagar Operativos</v>
      </c>
      <c r="D96" s="73">
        <f t="shared" ref="D96:N96" si="37">-(-D128)</f>
        <v>14493.326731903602</v>
      </c>
      <c r="E96" s="73">
        <f t="shared" si="37"/>
        <v>-288139.89170684549</v>
      </c>
      <c r="F96" s="73">
        <f t="shared" si="37"/>
        <v>-284810.85376252717</v>
      </c>
      <c r="G96" s="73">
        <f t="shared" si="37"/>
        <v>-283378.06972316094</v>
      </c>
      <c r="H96" s="73">
        <f t="shared" si="37"/>
        <v>-258223.16856470215</v>
      </c>
      <c r="I96" s="73">
        <f t="shared" si="37"/>
        <v>-276338.91941775777</v>
      </c>
      <c r="J96" s="73">
        <f t="shared" si="37"/>
        <v>-270474.02891304722</v>
      </c>
      <c r="K96" s="73">
        <f t="shared" si="37"/>
        <v>-268759.95706182125</v>
      </c>
      <c r="L96" s="73">
        <f t="shared" si="37"/>
        <v>-238308.64240845709</v>
      </c>
      <c r="M96" s="73">
        <f t="shared" si="37"/>
        <v>-260088.58313088861</v>
      </c>
      <c r="N96" s="73">
        <f t="shared" si="37"/>
        <v>-252500.09609088354</v>
      </c>
    </row>
    <row r="97" spans="2:14">
      <c r="B97" s="94" t="s">
        <v>144</v>
      </c>
      <c r="C97" s="94"/>
      <c r="D97" s="95">
        <f t="shared" ref="D97:N97" si="38">SUM(D90:D96)</f>
        <v>14493.326731903602</v>
      </c>
      <c r="E97" s="95">
        <f t="shared" si="38"/>
        <v>-85872.547142171505</v>
      </c>
      <c r="F97" s="95">
        <f t="shared" si="38"/>
        <v>142966.2426617539</v>
      </c>
      <c r="G97" s="95">
        <f t="shared" si="38"/>
        <v>141201.75383968954</v>
      </c>
      <c r="H97" s="95">
        <f t="shared" si="38"/>
        <v>153227.21578219224</v>
      </c>
      <c r="I97" s="95">
        <f t="shared" si="38"/>
        <v>124805.58249715943</v>
      </c>
      <c r="J97" s="95">
        <f t="shared" si="38"/>
        <v>141417.37975138996</v>
      </c>
      <c r="K97" s="95">
        <f t="shared" si="38"/>
        <v>137910.02232665702</v>
      </c>
      <c r="L97" s="95">
        <f t="shared" si="38"/>
        <v>152561.30898127166</v>
      </c>
      <c r="M97" s="95">
        <f t="shared" si="38"/>
        <v>118323.13946368216</v>
      </c>
      <c r="N97" s="95">
        <f t="shared" si="38"/>
        <v>138688.17615122988</v>
      </c>
    </row>
    <row r="98" spans="2:14">
      <c r="B98" s="16" t="str">
        <f>B36</f>
        <v>Propiedad Planta y Equipo neta</v>
      </c>
      <c r="D98" s="73">
        <f t="shared" ref="D98:N98" si="39">D36</f>
        <v>4140950.4948296007</v>
      </c>
      <c r="E98" s="73">
        <f t="shared" si="39"/>
        <v>3726247.5282373074</v>
      </c>
      <c r="F98" s="73">
        <f t="shared" si="39"/>
        <v>3311544.5616450137</v>
      </c>
      <c r="G98" s="73">
        <f t="shared" si="39"/>
        <v>2899546.2045954294</v>
      </c>
      <c r="H98" s="73">
        <f t="shared" si="39"/>
        <v>2484810.154502233</v>
      </c>
      <c r="I98" s="73">
        <f t="shared" si="39"/>
        <v>2070074.1044090367</v>
      </c>
      <c r="J98" s="73">
        <f t="shared" si="39"/>
        <v>1658507.837084082</v>
      </c>
      <c r="K98" s="73">
        <f t="shared" si="39"/>
        <v>1243616.7292490415</v>
      </c>
      <c r="L98" s="73">
        <f t="shared" si="39"/>
        <v>828725.6214140011</v>
      </c>
      <c r="M98" s="73">
        <f t="shared" si="39"/>
        <v>417521.23821315635</v>
      </c>
      <c r="N98" s="73">
        <f t="shared" si="39"/>
        <v>2457.8164227977395</v>
      </c>
    </row>
    <row r="99" spans="2:14">
      <c r="B99" s="94" t="s">
        <v>145</v>
      </c>
      <c r="C99" s="94"/>
      <c r="D99" s="95">
        <f t="shared" ref="D99:N99" si="40">SUM(D97:D98)</f>
        <v>4155443.8215615042</v>
      </c>
      <c r="E99" s="95">
        <f t="shared" si="40"/>
        <v>3640374.9810951361</v>
      </c>
      <c r="F99" s="95">
        <f t="shared" si="40"/>
        <v>3454510.8043067679</v>
      </c>
      <c r="G99" s="95">
        <f t="shared" si="40"/>
        <v>3040747.9584351191</v>
      </c>
      <c r="H99" s="95">
        <f t="shared" si="40"/>
        <v>2638037.3702844251</v>
      </c>
      <c r="I99" s="95">
        <f t="shared" si="40"/>
        <v>2194879.6869061962</v>
      </c>
      <c r="J99" s="95">
        <f t="shared" si="40"/>
        <v>1799925.2168354718</v>
      </c>
      <c r="K99" s="95">
        <f t="shared" si="40"/>
        <v>1381526.7515756986</v>
      </c>
      <c r="L99" s="95">
        <f t="shared" si="40"/>
        <v>981286.93039527279</v>
      </c>
      <c r="M99" s="95">
        <f t="shared" si="40"/>
        <v>535844.37767683854</v>
      </c>
      <c r="N99" s="95">
        <f t="shared" si="40"/>
        <v>141145.99257402762</v>
      </c>
    </row>
    <row r="101" spans="2:14">
      <c r="B101" s="16" t="str">
        <f>B27</f>
        <v>Efectivo</v>
      </c>
      <c r="D101" s="73">
        <f t="shared" ref="D101:N101" si="41">D27</f>
        <v>0</v>
      </c>
      <c r="E101" s="73">
        <f t="shared" si="41"/>
        <v>422792.38666750269</v>
      </c>
      <c r="F101" s="73">
        <f t="shared" si="41"/>
        <v>831857.1069461616</v>
      </c>
      <c r="G101" s="73">
        <f t="shared" si="41"/>
        <v>1383457.8923830031</v>
      </c>
      <c r="H101" s="73">
        <f t="shared" si="41"/>
        <v>1947829.0299896519</v>
      </c>
      <c r="I101" s="73">
        <f t="shared" si="41"/>
        <v>2640503.9339146297</v>
      </c>
      <c r="J101" s="73">
        <f t="shared" si="41"/>
        <v>3672147.6055174563</v>
      </c>
      <c r="K101" s="73">
        <f t="shared" si="41"/>
        <v>4763511.7843643203</v>
      </c>
      <c r="L101" s="73">
        <f t="shared" si="41"/>
        <v>5837712.8025374673</v>
      </c>
      <c r="M101" s="73">
        <f t="shared" si="41"/>
        <v>7046371.5930823525</v>
      </c>
      <c r="N101" s="73">
        <f t="shared" si="41"/>
        <v>8250589.0691890642</v>
      </c>
    </row>
    <row r="102" spans="2:14">
      <c r="B102" s="16" t="str">
        <f>B134</f>
        <v>Anticipo de Impuestos No Operativos</v>
      </c>
      <c r="D102" s="73">
        <f t="shared" ref="D102:N102" si="42">-(D134+D141)</f>
        <v>0</v>
      </c>
      <c r="E102" s="73">
        <f t="shared" si="42"/>
        <v>0</v>
      </c>
      <c r="F102" s="73">
        <f t="shared" si="42"/>
        <v>-76861.206333953698</v>
      </c>
      <c r="G102" s="73">
        <f t="shared" si="42"/>
        <v>-39503.077427241442</v>
      </c>
      <c r="H102" s="73">
        <f t="shared" si="42"/>
        <v>-18154.358120364701</v>
      </c>
      <c r="I102" s="73">
        <f t="shared" si="42"/>
        <v>3631.6730281592463</v>
      </c>
      <c r="J102" s="73">
        <f t="shared" si="42"/>
        <v>25602.52590904371</v>
      </c>
      <c r="K102" s="73">
        <f t="shared" si="42"/>
        <v>50003.059256463821</v>
      </c>
      <c r="L102" s="73">
        <f t="shared" si="42"/>
        <v>69539.231492433639</v>
      </c>
      <c r="M102" s="73">
        <f t="shared" si="42"/>
        <v>90206.327270760186</v>
      </c>
      <c r="N102" s="73">
        <f t="shared" si="42"/>
        <v>110548.40533971196</v>
      </c>
    </row>
    <row r="103" spans="2:14">
      <c r="B103" s="16" t="str">
        <f>B135</f>
        <v>Impuestos por Pagar No Operativos</v>
      </c>
      <c r="D103" s="73">
        <f t="shared" ref="D103:N103" si="43">-(-(D135+D142))</f>
        <v>0</v>
      </c>
      <c r="E103" s="73">
        <f t="shared" si="43"/>
        <v>102481.6084452716</v>
      </c>
      <c r="F103" s="73">
        <f t="shared" si="43"/>
        <v>52670.769902988592</v>
      </c>
      <c r="G103" s="73">
        <f t="shared" si="43"/>
        <v>24205.810827152938</v>
      </c>
      <c r="H103" s="73">
        <f t="shared" si="43"/>
        <v>-4842.2307042123284</v>
      </c>
      <c r="I103" s="73">
        <f t="shared" si="43"/>
        <v>-34136.70121205828</v>
      </c>
      <c r="J103" s="73">
        <f t="shared" si="43"/>
        <v>-66670.745675285099</v>
      </c>
      <c r="K103" s="73">
        <f t="shared" si="43"/>
        <v>-92718.975323244842</v>
      </c>
      <c r="L103" s="73">
        <f t="shared" si="43"/>
        <v>-120275.10302768025</v>
      </c>
      <c r="M103" s="73">
        <f t="shared" si="43"/>
        <v>-147397.87378628261</v>
      </c>
      <c r="N103" s="73">
        <f t="shared" si="43"/>
        <v>-177915.60254162291</v>
      </c>
    </row>
    <row r="104" spans="2:14">
      <c r="B104" s="94" t="s">
        <v>146</v>
      </c>
      <c r="C104" s="94"/>
      <c r="D104" s="95">
        <f t="shared" ref="D104:N104" si="44">SUM(D101:D103)</f>
        <v>0</v>
      </c>
      <c r="E104" s="95">
        <f t="shared" si="44"/>
        <v>525273.99511277431</v>
      </c>
      <c r="F104" s="95">
        <f t="shared" si="44"/>
        <v>807666.67051519651</v>
      </c>
      <c r="G104" s="95">
        <f t="shared" si="44"/>
        <v>1368160.6257829147</v>
      </c>
      <c r="H104" s="95">
        <f t="shared" si="44"/>
        <v>1924832.4411650749</v>
      </c>
      <c r="I104" s="95">
        <f t="shared" si="44"/>
        <v>2609998.9057307309</v>
      </c>
      <c r="J104" s="95">
        <f t="shared" si="44"/>
        <v>3631079.3857512153</v>
      </c>
      <c r="K104" s="95">
        <f t="shared" si="44"/>
        <v>4720795.8682975397</v>
      </c>
      <c r="L104" s="95">
        <f t="shared" si="44"/>
        <v>5786976.9310022211</v>
      </c>
      <c r="M104" s="95">
        <f t="shared" si="44"/>
        <v>6989180.04656683</v>
      </c>
      <c r="N104" s="95">
        <f t="shared" si="44"/>
        <v>8183221.8719871538</v>
      </c>
    </row>
    <row r="106" spans="2:14">
      <c r="B106" s="94" t="s">
        <v>147</v>
      </c>
      <c r="C106" s="94"/>
      <c r="D106" s="95">
        <f t="shared" ref="D106:N106" si="45">D104+D99</f>
        <v>4155443.8215615042</v>
      </c>
      <c r="E106" s="95">
        <f t="shared" si="45"/>
        <v>4165648.9762079106</v>
      </c>
      <c r="F106" s="95">
        <f t="shared" si="45"/>
        <v>4262177.4748219643</v>
      </c>
      <c r="G106" s="95">
        <f t="shared" si="45"/>
        <v>4408908.5842180336</v>
      </c>
      <c r="H106" s="95">
        <f t="shared" si="45"/>
        <v>4562869.8114494998</v>
      </c>
      <c r="I106" s="95">
        <f t="shared" si="45"/>
        <v>4804878.592636927</v>
      </c>
      <c r="J106" s="95">
        <f t="shared" si="45"/>
        <v>5431004.6025866866</v>
      </c>
      <c r="K106" s="95">
        <f t="shared" si="45"/>
        <v>6102322.6198732387</v>
      </c>
      <c r="L106" s="95">
        <f t="shared" si="45"/>
        <v>6768263.8613974936</v>
      </c>
      <c r="M106" s="95">
        <f t="shared" si="45"/>
        <v>7525024.4242436681</v>
      </c>
      <c r="N106" s="95">
        <f t="shared" si="45"/>
        <v>8324367.8645611815</v>
      </c>
    </row>
    <row r="108" spans="2:14">
      <c r="B108" s="16" t="str">
        <f>B40</f>
        <v>Obligaciones Financieras</v>
      </c>
      <c r="D108" s="73">
        <f t="shared" ref="D108:N108" si="46">D40</f>
        <v>1672943.9999111588</v>
      </c>
      <c r="E108" s="73">
        <f t="shared" si="46"/>
        <v>1338355.199928927</v>
      </c>
      <c r="F108" s="73">
        <f t="shared" si="46"/>
        <v>1003766.3999466952</v>
      </c>
      <c r="G108" s="73">
        <f t="shared" si="46"/>
        <v>669177.59996446338</v>
      </c>
      <c r="H108" s="73">
        <f t="shared" si="46"/>
        <v>334588.79998223163</v>
      </c>
      <c r="I108" s="73">
        <f t="shared" si="46"/>
        <v>0</v>
      </c>
      <c r="J108" s="73">
        <f t="shared" si="46"/>
        <v>0</v>
      </c>
      <c r="K108" s="73">
        <f t="shared" si="46"/>
        <v>0</v>
      </c>
      <c r="L108" s="73">
        <f t="shared" si="46"/>
        <v>0</v>
      </c>
      <c r="M108" s="73">
        <f t="shared" si="46"/>
        <v>0</v>
      </c>
      <c r="N108" s="73">
        <f t="shared" si="46"/>
        <v>0</v>
      </c>
    </row>
    <row r="109" spans="2:14">
      <c r="B109" s="16" t="str">
        <f>B52</f>
        <v>Patrimonio</v>
      </c>
      <c r="D109" s="73">
        <f t="shared" ref="D109:N109" si="47">D52</f>
        <v>2482499.8216503458</v>
      </c>
      <c r="E109" s="73">
        <f t="shared" si="47"/>
        <v>2827293.7762789829</v>
      </c>
      <c r="F109" s="73">
        <f t="shared" si="47"/>
        <v>3258411.0748752691</v>
      </c>
      <c r="G109" s="73">
        <f t="shared" si="47"/>
        <v>3739730.9842535695</v>
      </c>
      <c r="H109" s="73">
        <f t="shared" si="47"/>
        <v>4228281.0114672678</v>
      </c>
      <c r="I109" s="73">
        <f t="shared" si="47"/>
        <v>4804878.5926369261</v>
      </c>
      <c r="J109" s="73">
        <f t="shared" si="47"/>
        <v>5431004.6025866866</v>
      </c>
      <c r="K109" s="73">
        <f t="shared" si="47"/>
        <v>6102322.6198732378</v>
      </c>
      <c r="L109" s="73">
        <f t="shared" si="47"/>
        <v>6768263.8613974927</v>
      </c>
      <c r="M109" s="73">
        <f t="shared" si="47"/>
        <v>7525024.4242436681</v>
      </c>
      <c r="N109" s="73">
        <f t="shared" si="47"/>
        <v>8324367.8645611797</v>
      </c>
    </row>
    <row r="110" spans="2:14">
      <c r="B110" s="94" t="s">
        <v>148</v>
      </c>
      <c r="C110" s="94"/>
      <c r="D110" s="95">
        <f t="shared" ref="D110:N110" si="48">SUM(D108:D109)</f>
        <v>4155443.8215615046</v>
      </c>
      <c r="E110" s="95">
        <f t="shared" si="48"/>
        <v>4165648.9762079101</v>
      </c>
      <c r="F110" s="95">
        <f t="shared" si="48"/>
        <v>4262177.4748219643</v>
      </c>
      <c r="G110" s="95">
        <f t="shared" si="48"/>
        <v>4408908.5842180327</v>
      </c>
      <c r="H110" s="95">
        <f t="shared" si="48"/>
        <v>4562869.8114494998</v>
      </c>
      <c r="I110" s="95">
        <f t="shared" si="48"/>
        <v>4804878.5926369261</v>
      </c>
      <c r="J110" s="95">
        <f t="shared" si="48"/>
        <v>5431004.6025866866</v>
      </c>
      <c r="K110" s="95">
        <f t="shared" si="48"/>
        <v>6102322.6198732378</v>
      </c>
      <c r="L110" s="95">
        <f t="shared" si="48"/>
        <v>6768263.8613974927</v>
      </c>
      <c r="M110" s="95">
        <f t="shared" si="48"/>
        <v>7525024.4242436681</v>
      </c>
      <c r="N110" s="95">
        <f t="shared" si="48"/>
        <v>8324367.8645611797</v>
      </c>
    </row>
    <row r="112" spans="2:14">
      <c r="B112" s="96" t="s">
        <v>149</v>
      </c>
      <c r="C112" s="96"/>
      <c r="D112" s="97">
        <f t="shared" ref="D112:N112" si="49">D106-D110</f>
        <v>0</v>
      </c>
      <c r="E112" s="97">
        <f t="shared" si="49"/>
        <v>0</v>
      </c>
      <c r="F112" s="97">
        <f t="shared" si="49"/>
        <v>0</v>
      </c>
      <c r="G112" s="97">
        <f t="shared" si="49"/>
        <v>0</v>
      </c>
      <c r="H112" s="97">
        <f t="shared" si="49"/>
        <v>0</v>
      </c>
      <c r="I112" s="97">
        <f t="shared" si="49"/>
        <v>0</v>
      </c>
      <c r="J112" s="97">
        <f t="shared" si="49"/>
        <v>0</v>
      </c>
      <c r="K112" s="97">
        <f t="shared" si="49"/>
        <v>0</v>
      </c>
      <c r="L112" s="97">
        <f t="shared" si="49"/>
        <v>0</v>
      </c>
      <c r="M112" s="97">
        <f t="shared" si="49"/>
        <v>0</v>
      </c>
      <c r="N112" s="97">
        <f t="shared" si="49"/>
        <v>0</v>
      </c>
    </row>
    <row r="114" spans="2:14">
      <c r="B114" s="52" t="s">
        <v>150</v>
      </c>
      <c r="C114" s="52"/>
      <c r="D114" s="77">
        <f t="shared" ref="D114:N114" si="50">D97-C97</f>
        <v>14493.326731903602</v>
      </c>
      <c r="E114" s="77">
        <f t="shared" si="50"/>
        <v>-100365.8738740751</v>
      </c>
      <c r="F114" s="77">
        <f t="shared" si="50"/>
        <v>228838.78980392541</v>
      </c>
      <c r="G114" s="77">
        <f t="shared" si="50"/>
        <v>-1764.4888220643625</v>
      </c>
      <c r="H114" s="77">
        <f t="shared" si="50"/>
        <v>12025.461942502705</v>
      </c>
      <c r="I114" s="77">
        <f t="shared" si="50"/>
        <v>-28421.633285032818</v>
      </c>
      <c r="J114" s="77">
        <f t="shared" si="50"/>
        <v>16611.797254230536</v>
      </c>
      <c r="K114" s="77">
        <f t="shared" si="50"/>
        <v>-3507.3574247329379</v>
      </c>
      <c r="L114" s="77">
        <f t="shared" si="50"/>
        <v>14651.28665461464</v>
      </c>
      <c r="M114" s="77">
        <f t="shared" si="50"/>
        <v>-34238.1695175895</v>
      </c>
      <c r="N114" s="77">
        <f t="shared" si="50"/>
        <v>20365.036687547719</v>
      </c>
    </row>
    <row r="117" spans="2:14" ht="18.75">
      <c r="B117" s="37" t="s">
        <v>151</v>
      </c>
      <c r="C117" s="37"/>
      <c r="D117" s="21">
        <f t="shared" ref="D117:N117" si="51">D$6</f>
        <v>2023</v>
      </c>
      <c r="E117" s="21">
        <f t="shared" si="51"/>
        <v>2024</v>
      </c>
      <c r="F117" s="21">
        <f t="shared" si="51"/>
        <v>2025</v>
      </c>
      <c r="G117" s="21">
        <f t="shared" si="51"/>
        <v>2026</v>
      </c>
      <c r="H117" s="21">
        <f t="shared" si="51"/>
        <v>2027</v>
      </c>
      <c r="I117" s="21">
        <f t="shared" si="51"/>
        <v>2028</v>
      </c>
      <c r="J117" s="21">
        <f t="shared" si="51"/>
        <v>2029</v>
      </c>
      <c r="K117" s="21">
        <f t="shared" si="51"/>
        <v>2030</v>
      </c>
      <c r="L117" s="21">
        <f t="shared" si="51"/>
        <v>2031</v>
      </c>
      <c r="M117" s="21">
        <f t="shared" si="51"/>
        <v>2032</v>
      </c>
      <c r="N117" s="21">
        <f t="shared" si="51"/>
        <v>2033</v>
      </c>
    </row>
    <row r="118" spans="2:14">
      <c r="B118" s="16" t="str">
        <f>Macro!B36</f>
        <v>Tasa marginal de impuestos</v>
      </c>
      <c r="D118" s="102">
        <f>Macro!C36</f>
        <v>0.35</v>
      </c>
      <c r="E118" s="102">
        <f>Macro!D36</f>
        <v>0.35</v>
      </c>
      <c r="F118" s="102">
        <f>Macro!E36</f>
        <v>0.35</v>
      </c>
      <c r="G118" s="102">
        <f>Macro!F36</f>
        <v>0.35</v>
      </c>
      <c r="H118" s="102">
        <f>Macro!G36</f>
        <v>0.35</v>
      </c>
      <c r="I118" s="102">
        <f>Macro!H36</f>
        <v>0.35</v>
      </c>
      <c r="J118" s="102">
        <f>Macro!I36</f>
        <v>0.35</v>
      </c>
      <c r="K118" s="102">
        <f>Macro!J36</f>
        <v>0.35</v>
      </c>
      <c r="L118" s="102">
        <f>Macro!K36</f>
        <v>0.35</v>
      </c>
      <c r="M118" s="102">
        <f>Macro!L36</f>
        <v>0.35</v>
      </c>
      <c r="N118" s="102">
        <f>Macro!M36</f>
        <v>0.35</v>
      </c>
    </row>
    <row r="119" spans="2:14">
      <c r="B119" s="16" t="str">
        <f>Macro!B37</f>
        <v>Porcentaje de anticipo</v>
      </c>
      <c r="D119" s="102">
        <f>Macro!C37</f>
        <v>0.75</v>
      </c>
      <c r="E119" s="102">
        <f>Macro!D37</f>
        <v>0.75</v>
      </c>
      <c r="F119" s="102">
        <f>Macro!E37</f>
        <v>0.75</v>
      </c>
      <c r="G119" s="102">
        <f>Macro!F37</f>
        <v>0.75</v>
      </c>
      <c r="H119" s="102">
        <f>Macro!G37</f>
        <v>0.75</v>
      </c>
      <c r="I119" s="102">
        <f>Macro!H37</f>
        <v>0.75</v>
      </c>
      <c r="J119" s="102">
        <f>Macro!I37</f>
        <v>0.75</v>
      </c>
      <c r="K119" s="102">
        <f>Macro!J37</f>
        <v>0.75</v>
      </c>
      <c r="L119" s="102">
        <f>Macro!K37</f>
        <v>0.75</v>
      </c>
      <c r="M119" s="102">
        <f>Macro!L37</f>
        <v>0.75</v>
      </c>
      <c r="N119" s="102">
        <f>Macro!M37</f>
        <v>0.75</v>
      </c>
    </row>
    <row r="121" spans="2:14" ht="18.75">
      <c r="B121" s="37" t="s">
        <v>152</v>
      </c>
      <c r="C121" s="37"/>
    </row>
    <row r="122" spans="2:14">
      <c r="B122" s="16" t="str">
        <f>B13</f>
        <v>Resultado de Operación</v>
      </c>
      <c r="D122" s="73">
        <f t="shared" ref="D122:N122" si="52">D13</f>
        <v>-41409.504948296009</v>
      </c>
      <c r="E122" s="73">
        <f t="shared" si="52"/>
        <v>823256.83344813006</v>
      </c>
      <c r="F122" s="73">
        <f t="shared" si="52"/>
        <v>813745.29646436335</v>
      </c>
      <c r="G122" s="73">
        <f t="shared" si="52"/>
        <v>809651.62778045994</v>
      </c>
      <c r="H122" s="73">
        <f t="shared" si="52"/>
        <v>737780.48161343473</v>
      </c>
      <c r="I122" s="73">
        <f t="shared" si="52"/>
        <v>789539.76976502221</v>
      </c>
      <c r="J122" s="73">
        <f t="shared" si="52"/>
        <v>772782.93975156348</v>
      </c>
      <c r="K122" s="73">
        <f t="shared" si="52"/>
        <v>767885.59160520358</v>
      </c>
      <c r="L122" s="73">
        <f t="shared" si="52"/>
        <v>680881.83545273461</v>
      </c>
      <c r="M122" s="73">
        <f t="shared" si="52"/>
        <v>743110.23751682462</v>
      </c>
      <c r="N122" s="73">
        <f t="shared" si="52"/>
        <v>721428.84597395302</v>
      </c>
    </row>
    <row r="123" spans="2:14">
      <c r="B123" s="16" t="s">
        <v>153</v>
      </c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</row>
    <row r="124" spans="2:14">
      <c r="B124" s="16" t="s">
        <v>154</v>
      </c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</row>
    <row r="125" spans="2:14">
      <c r="B125" s="94" t="s">
        <v>155</v>
      </c>
      <c r="C125" s="94"/>
      <c r="D125" s="95">
        <f t="shared" ref="D125:N125" si="53">SUM(D122:D124)</f>
        <v>-41409.504948296009</v>
      </c>
      <c r="E125" s="95">
        <f t="shared" si="53"/>
        <v>823256.83344813006</v>
      </c>
      <c r="F125" s="95">
        <f t="shared" si="53"/>
        <v>813745.29646436335</v>
      </c>
      <c r="G125" s="95">
        <f t="shared" si="53"/>
        <v>809651.62778045994</v>
      </c>
      <c r="H125" s="95">
        <f t="shared" si="53"/>
        <v>737780.48161343473</v>
      </c>
      <c r="I125" s="95">
        <f t="shared" si="53"/>
        <v>789539.76976502221</v>
      </c>
      <c r="J125" s="95">
        <f t="shared" si="53"/>
        <v>772782.93975156348</v>
      </c>
      <c r="K125" s="95">
        <f t="shared" si="53"/>
        <v>767885.59160520358</v>
      </c>
      <c r="L125" s="95">
        <f t="shared" si="53"/>
        <v>680881.83545273461</v>
      </c>
      <c r="M125" s="95">
        <f t="shared" si="53"/>
        <v>743110.23751682462</v>
      </c>
      <c r="N125" s="95">
        <f t="shared" si="53"/>
        <v>721428.84597395302</v>
      </c>
    </row>
    <row r="126" spans="2:14">
      <c r="B126" s="16" t="str">
        <f>"Provisión de Impuestos "&amp;B121</f>
        <v>Provisión de Impuestos Operativos</v>
      </c>
      <c r="D126" s="73">
        <f t="shared" ref="D126:N126" si="54">-D125*D$118</f>
        <v>14493.326731903602</v>
      </c>
      <c r="E126" s="73">
        <f t="shared" si="54"/>
        <v>-288139.89170684549</v>
      </c>
      <c r="F126" s="73">
        <f t="shared" si="54"/>
        <v>-284810.85376252717</v>
      </c>
      <c r="G126" s="73">
        <f t="shared" si="54"/>
        <v>-283378.06972316094</v>
      </c>
      <c r="H126" s="73">
        <f t="shared" si="54"/>
        <v>-258223.16856470215</v>
      </c>
      <c r="I126" s="73">
        <f t="shared" si="54"/>
        <v>-276338.91941775777</v>
      </c>
      <c r="J126" s="73">
        <f t="shared" si="54"/>
        <v>-270474.02891304722</v>
      </c>
      <c r="K126" s="73">
        <f t="shared" si="54"/>
        <v>-268759.95706182125</v>
      </c>
      <c r="L126" s="73">
        <f t="shared" si="54"/>
        <v>-238308.64240845709</v>
      </c>
      <c r="M126" s="73">
        <f t="shared" si="54"/>
        <v>-260088.58313088861</v>
      </c>
      <c r="N126" s="73">
        <f t="shared" si="54"/>
        <v>-252500.09609088354</v>
      </c>
    </row>
    <row r="127" spans="2:14">
      <c r="B127" s="16" t="str">
        <f>"Anticipo de Impuestos "&amp;B121</f>
        <v>Anticipo de Impuestos Operativos</v>
      </c>
      <c r="D127" s="73"/>
      <c r="E127" s="73">
        <f t="shared" ref="E127:N127" si="55">D126*E$119</f>
        <v>10869.995048927702</v>
      </c>
      <c r="F127" s="73">
        <f t="shared" si="55"/>
        <v>-216104.91878013412</v>
      </c>
      <c r="G127" s="73">
        <f t="shared" si="55"/>
        <v>-213608.14032189536</v>
      </c>
      <c r="H127" s="73">
        <f t="shared" si="55"/>
        <v>-212533.5522923707</v>
      </c>
      <c r="I127" s="73">
        <f t="shared" si="55"/>
        <v>-193667.37642352661</v>
      </c>
      <c r="J127" s="73">
        <f t="shared" si="55"/>
        <v>-207254.18956331833</v>
      </c>
      <c r="K127" s="73">
        <f t="shared" si="55"/>
        <v>-202855.52168478543</v>
      </c>
      <c r="L127" s="73">
        <f t="shared" si="55"/>
        <v>-201569.96779636593</v>
      </c>
      <c r="M127" s="73">
        <f t="shared" si="55"/>
        <v>-178731.48180634281</v>
      </c>
      <c r="N127" s="73">
        <f t="shared" si="55"/>
        <v>-195066.43734816645</v>
      </c>
    </row>
    <row r="128" spans="2:14">
      <c r="B128" s="16" t="str">
        <f>"Impuestos por Pagar "&amp;B121</f>
        <v>Impuestos por Pagar Operativos</v>
      </c>
      <c r="D128" s="73">
        <f t="shared" ref="D128:N128" si="56">D126</f>
        <v>14493.326731903602</v>
      </c>
      <c r="E128" s="73">
        <f t="shared" si="56"/>
        <v>-288139.89170684549</v>
      </c>
      <c r="F128" s="73">
        <f t="shared" si="56"/>
        <v>-284810.85376252717</v>
      </c>
      <c r="G128" s="73">
        <f t="shared" si="56"/>
        <v>-283378.06972316094</v>
      </c>
      <c r="H128" s="73">
        <f t="shared" si="56"/>
        <v>-258223.16856470215</v>
      </c>
      <c r="I128" s="73">
        <f t="shared" si="56"/>
        <v>-276338.91941775777</v>
      </c>
      <c r="J128" s="73">
        <f t="shared" si="56"/>
        <v>-270474.02891304722</v>
      </c>
      <c r="K128" s="73">
        <f t="shared" si="56"/>
        <v>-268759.95706182125</v>
      </c>
      <c r="L128" s="73">
        <f t="shared" si="56"/>
        <v>-238308.64240845709</v>
      </c>
      <c r="M128" s="73">
        <f t="shared" si="56"/>
        <v>-260088.58313088861</v>
      </c>
      <c r="N128" s="73">
        <f t="shared" si="56"/>
        <v>-252500.09609088354</v>
      </c>
    </row>
    <row r="129" spans="2:14">
      <c r="B129" s="16" t="str">
        <f>"Pago de Impuestos "&amp;B121</f>
        <v>Pago de Impuestos Operativos</v>
      </c>
      <c r="D129" s="73"/>
      <c r="E129" s="73">
        <f t="shared" ref="E129:N129" si="57">E126+(E127-D127)-(E128-D128)</f>
        <v>25363.32178083132</v>
      </c>
      <c r="F129" s="73">
        <f t="shared" si="57"/>
        <v>-515114.80553590733</v>
      </c>
      <c r="G129" s="73">
        <f t="shared" si="57"/>
        <v>-282314.07530428842</v>
      </c>
      <c r="H129" s="73">
        <f t="shared" si="57"/>
        <v>-282303.48169363628</v>
      </c>
      <c r="I129" s="73">
        <f t="shared" si="57"/>
        <v>-239356.99269585806</v>
      </c>
      <c r="J129" s="73">
        <f t="shared" si="57"/>
        <v>-289925.73255754949</v>
      </c>
      <c r="K129" s="73">
        <f t="shared" si="57"/>
        <v>-266075.36103451432</v>
      </c>
      <c r="L129" s="73">
        <f t="shared" si="57"/>
        <v>-267474.40317340172</v>
      </c>
      <c r="M129" s="73">
        <f t="shared" si="57"/>
        <v>-215470.15641843397</v>
      </c>
      <c r="N129" s="73">
        <f t="shared" si="57"/>
        <v>-276423.53867271228</v>
      </c>
    </row>
    <row r="130" spans="2:14"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</row>
    <row r="131" spans="2:14" ht="18.75">
      <c r="B131" s="37" t="s">
        <v>156</v>
      </c>
      <c r="C131" s="37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</row>
    <row r="132" spans="2:14">
      <c r="B132" s="94" t="str">
        <f>B14</f>
        <v>Ingresos Financieros</v>
      </c>
      <c r="C132" s="94"/>
      <c r="D132" s="95">
        <f t="shared" ref="D132:N132" si="58">D14</f>
        <v>0</v>
      </c>
      <c r="E132" s="95">
        <f t="shared" si="58"/>
        <v>0</v>
      </c>
      <c r="F132" s="95">
        <f t="shared" si="58"/>
        <v>34311.55455929217</v>
      </c>
      <c r="G132" s="95">
        <f t="shared" si="58"/>
        <v>60769.011210658762</v>
      </c>
      <c r="H132" s="95">
        <f t="shared" si="58"/>
        <v>99803.643118326101</v>
      </c>
      <c r="I132" s="95">
        <f t="shared" si="58"/>
        <v>140517.78115902626</v>
      </c>
      <c r="J132" s="95">
        <f t="shared" si="58"/>
        <v>190487.84478652885</v>
      </c>
      <c r="K132" s="95">
        <f t="shared" si="58"/>
        <v>264911.35806641384</v>
      </c>
      <c r="L132" s="95">
        <f t="shared" si="58"/>
        <v>343643.15150765789</v>
      </c>
      <c r="M132" s="95">
        <f t="shared" si="58"/>
        <v>421136.78224652173</v>
      </c>
      <c r="N132" s="95">
        <f t="shared" si="58"/>
        <v>508330.29297606548</v>
      </c>
    </row>
    <row r="133" spans="2:14">
      <c r="B133" s="16" t="str">
        <f>"Provisión de Impuestos "&amp;B131</f>
        <v>Provisión de Impuestos No Operativos</v>
      </c>
      <c r="D133" s="73">
        <f t="shared" ref="D133:N133" si="59">-D132*D$118</f>
        <v>0</v>
      </c>
      <c r="E133" s="73">
        <f t="shared" si="59"/>
        <v>0</v>
      </c>
      <c r="F133" s="73">
        <f t="shared" si="59"/>
        <v>-12009.044095752259</v>
      </c>
      <c r="G133" s="73">
        <f t="shared" si="59"/>
        <v>-21269.153923730566</v>
      </c>
      <c r="H133" s="73">
        <f t="shared" si="59"/>
        <v>-34931.275091414136</v>
      </c>
      <c r="I133" s="73">
        <f t="shared" si="59"/>
        <v>-49181.223405659184</v>
      </c>
      <c r="J133" s="73">
        <f t="shared" si="59"/>
        <v>-66670.745675285099</v>
      </c>
      <c r="K133" s="73">
        <f t="shared" si="59"/>
        <v>-92718.975323244842</v>
      </c>
      <c r="L133" s="73">
        <f t="shared" si="59"/>
        <v>-120275.10302768025</v>
      </c>
      <c r="M133" s="73">
        <f t="shared" si="59"/>
        <v>-147397.87378628261</v>
      </c>
      <c r="N133" s="73">
        <f t="shared" si="59"/>
        <v>-177915.60254162291</v>
      </c>
    </row>
    <row r="134" spans="2:14">
      <c r="B134" s="16" t="str">
        <f>"Anticipo de Impuestos "&amp;B131</f>
        <v>Anticipo de Impuestos No Operativos</v>
      </c>
      <c r="D134" s="73"/>
      <c r="E134" s="73">
        <f t="shared" ref="E134:N134" si="60">D133*E$119</f>
        <v>0</v>
      </c>
      <c r="F134" s="73">
        <f t="shared" si="60"/>
        <v>0</v>
      </c>
      <c r="G134" s="73">
        <f t="shared" si="60"/>
        <v>-9006.783071814194</v>
      </c>
      <c r="H134" s="73">
        <f t="shared" si="60"/>
        <v>-15951.865442797924</v>
      </c>
      <c r="I134" s="73">
        <f t="shared" si="60"/>
        <v>-26198.456318560602</v>
      </c>
      <c r="J134" s="73">
        <f t="shared" si="60"/>
        <v>-36885.917554244385</v>
      </c>
      <c r="K134" s="73">
        <f t="shared" si="60"/>
        <v>-50003.059256463821</v>
      </c>
      <c r="L134" s="73">
        <f t="shared" si="60"/>
        <v>-69539.231492433639</v>
      </c>
      <c r="M134" s="73">
        <f t="shared" si="60"/>
        <v>-90206.327270760186</v>
      </c>
      <c r="N134" s="73">
        <f t="shared" si="60"/>
        <v>-110548.40533971196</v>
      </c>
    </row>
    <row r="135" spans="2:14">
      <c r="B135" s="16" t="str">
        <f>"Impuestos por Pagar "&amp;B131</f>
        <v>Impuestos por Pagar No Operativos</v>
      </c>
      <c r="D135" s="73">
        <f t="shared" ref="D135:N135" si="61">D133</f>
        <v>0</v>
      </c>
      <c r="E135" s="73">
        <f t="shared" si="61"/>
        <v>0</v>
      </c>
      <c r="F135" s="73">
        <f t="shared" si="61"/>
        <v>-12009.044095752259</v>
      </c>
      <c r="G135" s="73">
        <f t="shared" si="61"/>
        <v>-21269.153923730566</v>
      </c>
      <c r="H135" s="73">
        <f t="shared" si="61"/>
        <v>-34931.275091414136</v>
      </c>
      <c r="I135" s="73">
        <f t="shared" si="61"/>
        <v>-49181.223405659184</v>
      </c>
      <c r="J135" s="73">
        <f t="shared" si="61"/>
        <v>-66670.745675285099</v>
      </c>
      <c r="K135" s="73">
        <f t="shared" si="61"/>
        <v>-92718.975323244842</v>
      </c>
      <c r="L135" s="73">
        <f t="shared" si="61"/>
        <v>-120275.10302768025</v>
      </c>
      <c r="M135" s="73">
        <f t="shared" si="61"/>
        <v>-147397.87378628261</v>
      </c>
      <c r="N135" s="73">
        <f t="shared" si="61"/>
        <v>-177915.60254162291</v>
      </c>
    </row>
    <row r="136" spans="2:14">
      <c r="B136" s="16" t="str">
        <f>"Pago de Impuestos "&amp;B131</f>
        <v>Pago de Impuestos No Operativos</v>
      </c>
      <c r="D136" s="73"/>
      <c r="E136" s="73">
        <f t="shared" ref="E136:N136" si="62">E133+(E134-D134)-(E135-D135)</f>
        <v>0</v>
      </c>
      <c r="F136" s="73">
        <f t="shared" si="62"/>
        <v>0</v>
      </c>
      <c r="G136" s="73">
        <f t="shared" si="62"/>
        <v>-21015.827167566455</v>
      </c>
      <c r="H136" s="73">
        <f t="shared" si="62"/>
        <v>-28214.236294714294</v>
      </c>
      <c r="I136" s="73">
        <f t="shared" si="62"/>
        <v>-45177.865967176811</v>
      </c>
      <c r="J136" s="73">
        <f t="shared" si="62"/>
        <v>-59868.684641342959</v>
      </c>
      <c r="K136" s="73">
        <f t="shared" si="62"/>
        <v>-79787.887377504536</v>
      </c>
      <c r="L136" s="73">
        <f t="shared" si="62"/>
        <v>-112255.14755921465</v>
      </c>
      <c r="M136" s="73">
        <f t="shared" si="62"/>
        <v>-140942.19880600681</v>
      </c>
      <c r="N136" s="73">
        <f t="shared" si="62"/>
        <v>-167739.95185523437</v>
      </c>
    </row>
    <row r="138" spans="2:14" ht="18.75">
      <c r="B138" s="37" t="s">
        <v>157</v>
      </c>
      <c r="C138" s="37"/>
    </row>
    <row r="139" spans="2:14">
      <c r="B139" s="94" t="str">
        <f>B15</f>
        <v>Gastos Financieros</v>
      </c>
      <c r="C139" s="94"/>
      <c r="D139" s="95">
        <f t="shared" ref="D139:N139" si="63">D15</f>
        <v>0</v>
      </c>
      <c r="E139" s="95">
        <f t="shared" si="63"/>
        <v>-292804.59555791889</v>
      </c>
      <c r="F139" s="95">
        <f t="shared" si="63"/>
        <v>-184799.46856783101</v>
      </c>
      <c r="G139" s="95">
        <f t="shared" si="63"/>
        <v>-129928.47071681001</v>
      </c>
      <c r="H139" s="95">
        <f t="shared" si="63"/>
        <v>-85968.69824914803</v>
      </c>
      <c r="I139" s="95">
        <f t="shared" si="63"/>
        <v>-42984.349124574008</v>
      </c>
      <c r="J139" s="95">
        <f t="shared" si="63"/>
        <v>0</v>
      </c>
      <c r="K139" s="95">
        <f t="shared" si="63"/>
        <v>0</v>
      </c>
      <c r="L139" s="95">
        <f t="shared" si="63"/>
        <v>0</v>
      </c>
      <c r="M139" s="95">
        <f t="shared" si="63"/>
        <v>0</v>
      </c>
      <c r="N139" s="95">
        <f t="shared" si="63"/>
        <v>0</v>
      </c>
    </row>
    <row r="140" spans="2:14">
      <c r="B140" s="16" t="str">
        <f>"Provisión de Impuestos "&amp;B138</f>
        <v>Provisión de Impuestos Financieros</v>
      </c>
      <c r="D140" s="73">
        <f t="shared" ref="D140:N140" si="64">-D139*D$118</f>
        <v>0</v>
      </c>
      <c r="E140" s="73">
        <f t="shared" si="64"/>
        <v>102481.6084452716</v>
      </c>
      <c r="F140" s="73">
        <f t="shared" si="64"/>
        <v>64679.81399874085</v>
      </c>
      <c r="G140" s="73">
        <f t="shared" si="64"/>
        <v>45474.964750883504</v>
      </c>
      <c r="H140" s="73">
        <f t="shared" si="64"/>
        <v>30089.044387201808</v>
      </c>
      <c r="I140" s="73">
        <f t="shared" si="64"/>
        <v>15044.522193600902</v>
      </c>
      <c r="J140" s="73">
        <f t="shared" si="64"/>
        <v>0</v>
      </c>
      <c r="K140" s="73">
        <f t="shared" si="64"/>
        <v>0</v>
      </c>
      <c r="L140" s="73">
        <f t="shared" si="64"/>
        <v>0</v>
      </c>
      <c r="M140" s="73">
        <f t="shared" si="64"/>
        <v>0</v>
      </c>
      <c r="N140" s="73">
        <f t="shared" si="64"/>
        <v>0</v>
      </c>
    </row>
    <row r="141" spans="2:14">
      <c r="B141" s="16" t="str">
        <f>"Anticipo de Impuestos "&amp;B138</f>
        <v>Anticipo de Impuestos Financieros</v>
      </c>
      <c r="D141" s="73"/>
      <c r="E141" s="73">
        <f t="shared" ref="E141:N141" si="65">D140*E$119</f>
        <v>0</v>
      </c>
      <c r="F141" s="73">
        <f t="shared" si="65"/>
        <v>76861.206333953698</v>
      </c>
      <c r="G141" s="73">
        <f t="shared" si="65"/>
        <v>48509.860499055634</v>
      </c>
      <c r="H141" s="73">
        <f t="shared" si="65"/>
        <v>34106.223563162624</v>
      </c>
      <c r="I141" s="73">
        <f t="shared" si="65"/>
        <v>22566.783290401356</v>
      </c>
      <c r="J141" s="73">
        <f t="shared" si="65"/>
        <v>11283.391645200676</v>
      </c>
      <c r="K141" s="73">
        <f t="shared" si="65"/>
        <v>0</v>
      </c>
      <c r="L141" s="73">
        <f t="shared" si="65"/>
        <v>0</v>
      </c>
      <c r="M141" s="73">
        <f t="shared" si="65"/>
        <v>0</v>
      </c>
      <c r="N141" s="73">
        <f t="shared" si="65"/>
        <v>0</v>
      </c>
    </row>
    <row r="142" spans="2:14">
      <c r="B142" s="16" t="str">
        <f>"Impuestos por Pagar "&amp;B138</f>
        <v>Impuestos por Pagar Financieros</v>
      </c>
      <c r="D142" s="73">
        <f t="shared" ref="D142:N142" si="66">D140</f>
        <v>0</v>
      </c>
      <c r="E142" s="73">
        <f t="shared" si="66"/>
        <v>102481.6084452716</v>
      </c>
      <c r="F142" s="73">
        <f t="shared" si="66"/>
        <v>64679.81399874085</v>
      </c>
      <c r="G142" s="73">
        <f t="shared" si="66"/>
        <v>45474.964750883504</v>
      </c>
      <c r="H142" s="73">
        <f t="shared" si="66"/>
        <v>30089.044387201808</v>
      </c>
      <c r="I142" s="73">
        <f t="shared" si="66"/>
        <v>15044.522193600902</v>
      </c>
      <c r="J142" s="73">
        <f t="shared" si="66"/>
        <v>0</v>
      </c>
      <c r="K142" s="73">
        <f t="shared" si="66"/>
        <v>0</v>
      </c>
      <c r="L142" s="73">
        <f t="shared" si="66"/>
        <v>0</v>
      </c>
      <c r="M142" s="73">
        <f t="shared" si="66"/>
        <v>0</v>
      </c>
      <c r="N142" s="73">
        <f t="shared" si="66"/>
        <v>0</v>
      </c>
    </row>
    <row r="143" spans="2:14">
      <c r="B143" s="16" t="str">
        <f>"Pago de Impuestos "&amp;B138</f>
        <v>Pago de Impuestos Financieros</v>
      </c>
      <c r="D143" s="73"/>
      <c r="E143" s="73">
        <f t="shared" ref="E143:N143" si="67">E140+(E141-D141)-(E142-D142)</f>
        <v>0</v>
      </c>
      <c r="F143" s="73">
        <f t="shared" si="67"/>
        <v>179342.8147792253</v>
      </c>
      <c r="G143" s="73">
        <f t="shared" si="67"/>
        <v>36328.468163842786</v>
      </c>
      <c r="H143" s="73">
        <f t="shared" si="67"/>
        <v>31071.327814990495</v>
      </c>
      <c r="I143" s="73">
        <f t="shared" si="67"/>
        <v>18549.604114440539</v>
      </c>
      <c r="J143" s="73">
        <f t="shared" si="67"/>
        <v>3761.1305484002223</v>
      </c>
      <c r="K143" s="73">
        <f t="shared" si="67"/>
        <v>-11283.391645200676</v>
      </c>
      <c r="L143" s="73">
        <f t="shared" si="67"/>
        <v>0</v>
      </c>
      <c r="M143" s="73">
        <f t="shared" si="67"/>
        <v>0</v>
      </c>
      <c r="N143" s="73">
        <f t="shared" si="67"/>
        <v>0</v>
      </c>
    </row>
    <row r="144" spans="2:14"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</row>
    <row r="145" spans="1:14" ht="18.75">
      <c r="B145" s="37" t="s">
        <v>158</v>
      </c>
      <c r="C145" s="37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</row>
    <row r="146" spans="1:14">
      <c r="B146" s="16" t="str">
        <f>B16</f>
        <v>Resultado Antes de Impuestos</v>
      </c>
      <c r="D146" s="73">
        <f t="shared" ref="D146:N146" si="68">D16</f>
        <v>-41409.504948296009</v>
      </c>
      <c r="E146" s="73">
        <f t="shared" si="68"/>
        <v>530452.23789021117</v>
      </c>
      <c r="F146" s="73">
        <f t="shared" si="68"/>
        <v>663257.38245582453</v>
      </c>
      <c r="G146" s="73">
        <f t="shared" si="68"/>
        <v>740492.16827430867</v>
      </c>
      <c r="H146" s="73">
        <f t="shared" si="68"/>
        <v>751615.42648261273</v>
      </c>
      <c r="I146" s="73">
        <f t="shared" si="68"/>
        <v>887073.20179947454</v>
      </c>
      <c r="J146" s="73">
        <f t="shared" si="68"/>
        <v>963270.78453809232</v>
      </c>
      <c r="K146" s="73">
        <f t="shared" si="68"/>
        <v>1032796.9496716175</v>
      </c>
      <c r="L146" s="73">
        <f t="shared" si="68"/>
        <v>1024524.9869603924</v>
      </c>
      <c r="M146" s="73">
        <f t="shared" si="68"/>
        <v>1164247.0197633463</v>
      </c>
      <c r="N146" s="73">
        <f t="shared" si="68"/>
        <v>1229759.1389500184</v>
      </c>
    </row>
    <row r="147" spans="1:14">
      <c r="B147" s="16" t="str">
        <f>B123</f>
        <v>Costos y Gastos no Deducibles</v>
      </c>
      <c r="D147" s="73">
        <f t="shared" ref="D147:N147" si="69">D123</f>
        <v>0</v>
      </c>
      <c r="E147" s="73">
        <f t="shared" si="69"/>
        <v>0</v>
      </c>
      <c r="F147" s="73">
        <f t="shared" si="69"/>
        <v>0</v>
      </c>
      <c r="G147" s="73">
        <f t="shared" si="69"/>
        <v>0</v>
      </c>
      <c r="H147" s="73">
        <f t="shared" si="69"/>
        <v>0</v>
      </c>
      <c r="I147" s="73">
        <f t="shared" si="69"/>
        <v>0</v>
      </c>
      <c r="J147" s="73">
        <f t="shared" si="69"/>
        <v>0</v>
      </c>
      <c r="K147" s="73">
        <f t="shared" si="69"/>
        <v>0</v>
      </c>
      <c r="L147" s="73">
        <f t="shared" si="69"/>
        <v>0</v>
      </c>
      <c r="M147" s="73">
        <f t="shared" si="69"/>
        <v>0</v>
      </c>
      <c r="N147" s="73">
        <f t="shared" si="69"/>
        <v>0</v>
      </c>
    </row>
    <row r="148" spans="1:14">
      <c r="B148" s="16" t="str">
        <f>B124</f>
        <v>Beneficios Tributarios</v>
      </c>
      <c r="D148" s="73">
        <f t="shared" ref="D148:N148" si="70">D124</f>
        <v>0</v>
      </c>
      <c r="E148" s="73">
        <f t="shared" si="70"/>
        <v>0</v>
      </c>
      <c r="F148" s="73">
        <f t="shared" si="70"/>
        <v>0</v>
      </c>
      <c r="G148" s="73">
        <f t="shared" si="70"/>
        <v>0</v>
      </c>
      <c r="H148" s="73">
        <f t="shared" si="70"/>
        <v>0</v>
      </c>
      <c r="I148" s="73">
        <f t="shared" si="70"/>
        <v>0</v>
      </c>
      <c r="J148" s="73">
        <f t="shared" si="70"/>
        <v>0</v>
      </c>
      <c r="K148" s="73">
        <f t="shared" si="70"/>
        <v>0</v>
      </c>
      <c r="L148" s="73">
        <f t="shared" si="70"/>
        <v>0</v>
      </c>
      <c r="M148" s="73">
        <f t="shared" si="70"/>
        <v>0</v>
      </c>
      <c r="N148" s="73">
        <f t="shared" si="70"/>
        <v>0</v>
      </c>
    </row>
    <row r="149" spans="1:14">
      <c r="B149" s="94" t="s">
        <v>159</v>
      </c>
      <c r="C149" s="94"/>
      <c r="D149" s="95">
        <f t="shared" ref="D149:N149" si="71">SUM(D146:D148)</f>
        <v>-41409.504948296009</v>
      </c>
      <c r="E149" s="95">
        <f t="shared" si="71"/>
        <v>530452.23789021117</v>
      </c>
      <c r="F149" s="95">
        <f t="shared" si="71"/>
        <v>663257.38245582453</v>
      </c>
      <c r="G149" s="95">
        <f t="shared" si="71"/>
        <v>740492.16827430867</v>
      </c>
      <c r="H149" s="95">
        <f t="shared" si="71"/>
        <v>751615.42648261273</v>
      </c>
      <c r="I149" s="95">
        <f t="shared" si="71"/>
        <v>887073.20179947454</v>
      </c>
      <c r="J149" s="95">
        <f t="shared" si="71"/>
        <v>963270.78453809232</v>
      </c>
      <c r="K149" s="95">
        <f t="shared" si="71"/>
        <v>1032796.9496716175</v>
      </c>
      <c r="L149" s="95">
        <f t="shared" si="71"/>
        <v>1024524.9869603924</v>
      </c>
      <c r="M149" s="95">
        <f t="shared" si="71"/>
        <v>1164247.0197633463</v>
      </c>
      <c r="N149" s="95">
        <f t="shared" si="71"/>
        <v>1229759.1389500184</v>
      </c>
    </row>
    <row r="150" spans="1:14">
      <c r="A150" s="15" t="s">
        <v>43</v>
      </c>
      <c r="B150" s="16" t="str">
        <f>"Provisión de Impuestos "&amp;B145</f>
        <v>Provisión de Impuestos Totales</v>
      </c>
      <c r="D150" s="73">
        <f t="shared" ref="D150:N150" si="72">-D149*D$118</f>
        <v>14493.326731903602</v>
      </c>
      <c r="E150" s="73">
        <f t="shared" si="72"/>
        <v>-185658.2832615739</v>
      </c>
      <c r="F150" s="73">
        <f t="shared" si="72"/>
        <v>-232140.08385953857</v>
      </c>
      <c r="G150" s="73">
        <f t="shared" si="72"/>
        <v>-259172.25889600802</v>
      </c>
      <c r="H150" s="73">
        <f t="shared" si="72"/>
        <v>-263065.39926891442</v>
      </c>
      <c r="I150" s="73">
        <f t="shared" si="72"/>
        <v>-310475.62062981608</v>
      </c>
      <c r="J150" s="73">
        <f t="shared" si="72"/>
        <v>-337144.77458833228</v>
      </c>
      <c r="K150" s="73">
        <f t="shared" si="72"/>
        <v>-361478.93238506612</v>
      </c>
      <c r="L150" s="73">
        <f t="shared" si="72"/>
        <v>-358583.74543613731</v>
      </c>
      <c r="M150" s="73">
        <f t="shared" si="72"/>
        <v>-407486.45691717119</v>
      </c>
      <c r="N150" s="73">
        <f t="shared" si="72"/>
        <v>-430415.69863250642</v>
      </c>
    </row>
    <row r="151" spans="1:14">
      <c r="A151" s="15" t="s">
        <v>45</v>
      </c>
      <c r="B151" s="16" t="str">
        <f>"Anticipo de Impuestos "&amp;B145</f>
        <v>Anticipo de Impuestos Totales</v>
      </c>
      <c r="D151" s="73">
        <f t="shared" ref="D151:N151" si="73">C150*D$119</f>
        <v>0</v>
      </c>
      <c r="E151" s="73">
        <f t="shared" si="73"/>
        <v>10869.995048927702</v>
      </c>
      <c r="F151" s="73">
        <f t="shared" si="73"/>
        <v>-139243.71244618043</v>
      </c>
      <c r="G151" s="73">
        <f t="shared" si="73"/>
        <v>-174105.06289465394</v>
      </c>
      <c r="H151" s="73">
        <f t="shared" si="73"/>
        <v>-194379.19417200601</v>
      </c>
      <c r="I151" s="73">
        <f t="shared" si="73"/>
        <v>-197299.0494516858</v>
      </c>
      <c r="J151" s="73">
        <f t="shared" si="73"/>
        <v>-232856.71547236206</v>
      </c>
      <c r="K151" s="73">
        <f t="shared" si="73"/>
        <v>-252858.58094124921</v>
      </c>
      <c r="L151" s="73">
        <f t="shared" si="73"/>
        <v>-271109.1992887996</v>
      </c>
      <c r="M151" s="73">
        <f t="shared" si="73"/>
        <v>-268937.80907710298</v>
      </c>
      <c r="N151" s="73">
        <f t="shared" si="73"/>
        <v>-305614.84268787841</v>
      </c>
    </row>
    <row r="152" spans="1:14">
      <c r="A152" s="15" t="s">
        <v>45</v>
      </c>
      <c r="B152" s="16" t="str">
        <f>"Impuestos por Pagar "&amp;B145</f>
        <v>Impuestos por Pagar Totales</v>
      </c>
      <c r="D152" s="73">
        <f t="shared" ref="D152:N152" si="74">D150</f>
        <v>14493.326731903602</v>
      </c>
      <c r="E152" s="73">
        <f t="shared" si="74"/>
        <v>-185658.2832615739</v>
      </c>
      <c r="F152" s="73">
        <f t="shared" si="74"/>
        <v>-232140.08385953857</v>
      </c>
      <c r="G152" s="73">
        <f t="shared" si="74"/>
        <v>-259172.25889600802</v>
      </c>
      <c r="H152" s="73">
        <f t="shared" si="74"/>
        <v>-263065.39926891442</v>
      </c>
      <c r="I152" s="73">
        <f t="shared" si="74"/>
        <v>-310475.62062981608</v>
      </c>
      <c r="J152" s="73">
        <f t="shared" si="74"/>
        <v>-337144.77458833228</v>
      </c>
      <c r="K152" s="73">
        <f t="shared" si="74"/>
        <v>-361478.93238506612</v>
      </c>
      <c r="L152" s="73">
        <f t="shared" si="74"/>
        <v>-358583.74543613731</v>
      </c>
      <c r="M152" s="73">
        <f t="shared" si="74"/>
        <v>-407486.45691717119</v>
      </c>
      <c r="N152" s="73">
        <f t="shared" si="74"/>
        <v>-430415.69863250642</v>
      </c>
    </row>
    <row r="153" spans="1:14">
      <c r="A153" s="15" t="s">
        <v>47</v>
      </c>
      <c r="B153" s="16" t="str">
        <f>"Pago de Impuestos "&amp;B145</f>
        <v>Pago de Impuestos Totales</v>
      </c>
      <c r="D153" s="73">
        <f t="shared" ref="D153:N153" si="75">D150+(D151-C151)-(D152-C152)</f>
        <v>0</v>
      </c>
      <c r="E153" s="73">
        <f t="shared" si="75"/>
        <v>25363.321780831291</v>
      </c>
      <c r="F153" s="73">
        <f t="shared" si="75"/>
        <v>-335771.990756682</v>
      </c>
      <c r="G153" s="73">
        <f t="shared" si="75"/>
        <v>-267001.43430801202</v>
      </c>
      <c r="H153" s="73">
        <f t="shared" si="75"/>
        <v>-279446.39017336007</v>
      </c>
      <c r="I153" s="73">
        <f t="shared" si="75"/>
        <v>-265985.25454859418</v>
      </c>
      <c r="J153" s="73">
        <f t="shared" si="75"/>
        <v>-346033.28665049234</v>
      </c>
      <c r="K153" s="73">
        <f t="shared" si="75"/>
        <v>-357146.64005721943</v>
      </c>
      <c r="L153" s="73">
        <f t="shared" si="75"/>
        <v>-379729.55073261651</v>
      </c>
      <c r="M153" s="73">
        <f t="shared" si="75"/>
        <v>-356412.35522444069</v>
      </c>
      <c r="N153" s="73">
        <f t="shared" si="75"/>
        <v>-444163.49052794662</v>
      </c>
    </row>
    <row r="155" spans="1:14" ht="18.75">
      <c r="B155" s="103" t="s">
        <v>160</v>
      </c>
      <c r="C155" s="103"/>
    </row>
    <row r="156" spans="1:14">
      <c r="B156" s="104" t="str">
        <f>B149</f>
        <v>Renta Líquida</v>
      </c>
      <c r="C156" s="104"/>
      <c r="D156" s="105">
        <f t="shared" ref="D156:N156" si="76">(D125+D132+D139)-D149</f>
        <v>0</v>
      </c>
      <c r="E156" s="105">
        <f t="shared" si="76"/>
        <v>0</v>
      </c>
      <c r="F156" s="105">
        <f t="shared" si="76"/>
        <v>0</v>
      </c>
      <c r="G156" s="105">
        <f t="shared" si="76"/>
        <v>0</v>
      </c>
      <c r="H156" s="105">
        <f t="shared" si="76"/>
        <v>0</v>
      </c>
      <c r="I156" s="105">
        <f t="shared" si="76"/>
        <v>0</v>
      </c>
      <c r="J156" s="105">
        <f t="shared" si="76"/>
        <v>0</v>
      </c>
      <c r="K156" s="105">
        <f t="shared" si="76"/>
        <v>0</v>
      </c>
      <c r="L156" s="105">
        <f t="shared" si="76"/>
        <v>0</v>
      </c>
      <c r="M156" s="105">
        <f t="shared" si="76"/>
        <v>0</v>
      </c>
      <c r="N156" s="105">
        <f t="shared" si="76"/>
        <v>0</v>
      </c>
    </row>
    <row r="157" spans="1:14">
      <c r="B157" s="104" t="str">
        <f>B150</f>
        <v>Provisión de Impuestos Totales</v>
      </c>
      <c r="C157" s="104"/>
      <c r="D157" s="105">
        <f t="shared" ref="D157:N157" si="77">(D126+D133+D140)-D150</f>
        <v>0</v>
      </c>
      <c r="E157" s="105">
        <f t="shared" si="77"/>
        <v>0</v>
      </c>
      <c r="F157" s="105">
        <f t="shared" si="77"/>
        <v>0</v>
      </c>
      <c r="G157" s="105">
        <f t="shared" si="77"/>
        <v>0</v>
      </c>
      <c r="H157" s="105">
        <f t="shared" si="77"/>
        <v>0</v>
      </c>
      <c r="I157" s="105">
        <f t="shared" si="77"/>
        <v>0</v>
      </c>
      <c r="J157" s="105">
        <f t="shared" si="77"/>
        <v>0</v>
      </c>
      <c r="K157" s="105">
        <f t="shared" si="77"/>
        <v>0</v>
      </c>
      <c r="L157" s="105">
        <f t="shared" si="77"/>
        <v>0</v>
      </c>
      <c r="M157" s="105">
        <f t="shared" si="77"/>
        <v>0</v>
      </c>
      <c r="N157" s="105">
        <f t="shared" si="77"/>
        <v>0</v>
      </c>
    </row>
    <row r="158" spans="1:14">
      <c r="B158" s="104" t="str">
        <f>B151</f>
        <v>Anticipo de Impuestos Totales</v>
      </c>
      <c r="C158" s="104"/>
      <c r="D158" s="105">
        <f t="shared" ref="D158:N158" si="78">(D127+D134+D141)-D151</f>
        <v>0</v>
      </c>
      <c r="E158" s="105">
        <f t="shared" si="78"/>
        <v>0</v>
      </c>
      <c r="F158" s="105">
        <f t="shared" si="78"/>
        <v>0</v>
      </c>
      <c r="G158" s="105">
        <f t="shared" si="78"/>
        <v>0</v>
      </c>
      <c r="H158" s="105">
        <f t="shared" si="78"/>
        <v>0</v>
      </c>
      <c r="I158" s="105">
        <f t="shared" si="78"/>
        <v>0</v>
      </c>
      <c r="J158" s="105">
        <f t="shared" si="78"/>
        <v>0</v>
      </c>
      <c r="K158" s="105">
        <f t="shared" si="78"/>
        <v>0</v>
      </c>
      <c r="L158" s="105">
        <f t="shared" si="78"/>
        <v>0</v>
      </c>
      <c r="M158" s="105">
        <f t="shared" si="78"/>
        <v>0</v>
      </c>
      <c r="N158" s="105">
        <f t="shared" si="78"/>
        <v>0</v>
      </c>
    </row>
    <row r="159" spans="1:14">
      <c r="B159" s="104" t="str">
        <f>B152</f>
        <v>Impuestos por Pagar Totales</v>
      </c>
      <c r="C159" s="104"/>
      <c r="D159" s="105">
        <f t="shared" ref="D159:N159" si="79">(D128+D135+D142)-D152</f>
        <v>0</v>
      </c>
      <c r="E159" s="105">
        <f t="shared" si="79"/>
        <v>0</v>
      </c>
      <c r="F159" s="105">
        <f t="shared" si="79"/>
        <v>0</v>
      </c>
      <c r="G159" s="105">
        <f t="shared" si="79"/>
        <v>0</v>
      </c>
      <c r="H159" s="105">
        <f t="shared" si="79"/>
        <v>0</v>
      </c>
      <c r="I159" s="105">
        <f t="shared" si="79"/>
        <v>0</v>
      </c>
      <c r="J159" s="105">
        <f t="shared" si="79"/>
        <v>0</v>
      </c>
      <c r="K159" s="105">
        <f t="shared" si="79"/>
        <v>0</v>
      </c>
      <c r="L159" s="105">
        <f t="shared" si="79"/>
        <v>0</v>
      </c>
      <c r="M159" s="105">
        <f t="shared" si="79"/>
        <v>0</v>
      </c>
      <c r="N159" s="105">
        <f t="shared" si="79"/>
        <v>0</v>
      </c>
    </row>
    <row r="160" spans="1:14">
      <c r="B160" s="104" t="str">
        <f>B153</f>
        <v>Pago de Impuestos Totales</v>
      </c>
      <c r="C160" s="104"/>
      <c r="D160" s="105">
        <f t="shared" ref="D160:N160" si="80">(D129+D136+D143)-D153</f>
        <v>0</v>
      </c>
      <c r="E160" s="105">
        <f t="shared" si="80"/>
        <v>2.9103830456733704E-11</v>
      </c>
      <c r="F160" s="105">
        <f t="shared" si="80"/>
        <v>0</v>
      </c>
      <c r="G160" s="105">
        <f t="shared" si="80"/>
        <v>0</v>
      </c>
      <c r="H160" s="105">
        <f t="shared" si="80"/>
        <v>0</v>
      </c>
      <c r="I160" s="105">
        <f t="shared" si="80"/>
        <v>0</v>
      </c>
      <c r="J160" s="105">
        <f t="shared" si="80"/>
        <v>0</v>
      </c>
      <c r="K160" s="105">
        <f t="shared" si="80"/>
        <v>0</v>
      </c>
      <c r="L160" s="105">
        <f t="shared" si="80"/>
        <v>0</v>
      </c>
      <c r="M160" s="105">
        <f t="shared" si="80"/>
        <v>0</v>
      </c>
      <c r="N160" s="105">
        <f t="shared" si="80"/>
        <v>0</v>
      </c>
    </row>
    <row r="163" spans="2:4" ht="18.75">
      <c r="B163" s="37" t="s">
        <v>161</v>
      </c>
      <c r="C163" s="37"/>
    </row>
    <row r="164" spans="2:4">
      <c r="B164" s="16" t="s">
        <v>162</v>
      </c>
      <c r="D164" s="106">
        <v>45</v>
      </c>
    </row>
    <row r="165" spans="2:4">
      <c r="B165" s="16" t="s">
        <v>163</v>
      </c>
      <c r="D165" s="106">
        <v>30</v>
      </c>
    </row>
    <row r="166" spans="2:4">
      <c r="B166" s="16" t="s">
        <v>164</v>
      </c>
      <c r="D166" s="106">
        <v>45</v>
      </c>
    </row>
    <row r="167" spans="2:4">
      <c r="B167" s="16" t="s">
        <v>165</v>
      </c>
      <c r="D167" s="106">
        <v>15</v>
      </c>
    </row>
  </sheetData>
  <mergeCells count="12">
    <mergeCell ref="B86:N86"/>
    <mergeCell ref="B87:N87"/>
    <mergeCell ref="B24:N24"/>
    <mergeCell ref="B60:N60"/>
    <mergeCell ref="B61:N61"/>
    <mergeCell ref="B62:N62"/>
    <mergeCell ref="B85:N85"/>
    <mergeCell ref="B2:N2"/>
    <mergeCell ref="B3:N3"/>
    <mergeCell ref="B4:N4"/>
    <mergeCell ref="B22:N22"/>
    <mergeCell ref="B23:N23"/>
  </mergeCells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J111"/>
  <sheetViews>
    <sheetView topLeftCell="A21" zoomScaleNormal="100" zoomScalePageLayoutView="60" workbookViewId="0"/>
  </sheetViews>
  <sheetFormatPr baseColWidth="10" defaultColWidth="11.5703125" defaultRowHeight="16.5"/>
  <cols>
    <col min="1" max="1" width="4" style="16" customWidth="1"/>
    <col min="2" max="2" width="56.85546875" style="16" customWidth="1"/>
    <col min="3" max="3" width="7" style="16" hidden="1" customWidth="1"/>
    <col min="4" max="4" width="8.85546875" style="16" customWidth="1"/>
    <col min="5" max="14" width="10.5703125" style="16" customWidth="1"/>
    <col min="15" max="15" width="11.5703125" style="16"/>
    <col min="16" max="16" width="43.140625" style="16" customWidth="1"/>
    <col min="17" max="17" width="11.5703125" style="16"/>
    <col min="18" max="21" width="10.140625" style="16" customWidth="1"/>
    <col min="22" max="23" width="8.85546875" style="16" customWidth="1"/>
    <col min="24" max="28" width="10.140625" style="16" customWidth="1"/>
    <col min="29" max="1024" width="11.5703125" style="16"/>
  </cols>
  <sheetData>
    <row r="3" spans="2:14">
      <c r="B3" s="12" t="str">
        <f>Comercial!D$2</f>
        <v>Solución Empresa ABC SAS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4">
      <c r="B4" s="12" t="s">
        <v>166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4">
      <c r="B5" s="11" t="str">
        <f>"Valores en "&amp;Ppto!D$3</f>
        <v>Valores en Miles de pesos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14" hidden="1"/>
    <row r="7" spans="2:14">
      <c r="D7" s="21">
        <f>Ppto!D9</f>
        <v>0</v>
      </c>
      <c r="E7" s="21">
        <f>Ppto!E9</f>
        <v>1</v>
      </c>
      <c r="F7" s="21">
        <f>Ppto!F9</f>
        <v>2</v>
      </c>
      <c r="G7" s="21">
        <f>Ppto!G9</f>
        <v>3</v>
      </c>
      <c r="H7" s="21">
        <f>Ppto!H9</f>
        <v>4</v>
      </c>
      <c r="I7" s="21">
        <f>Ppto!I9</f>
        <v>5</v>
      </c>
      <c r="J7" s="21">
        <f>Ppto!J9</f>
        <v>6</v>
      </c>
      <c r="K7" s="21">
        <f>Ppto!K9</f>
        <v>7</v>
      </c>
      <c r="L7" s="21">
        <f>Ppto!L9</f>
        <v>8</v>
      </c>
      <c r="M7" s="21">
        <f>Ppto!M9</f>
        <v>9</v>
      </c>
      <c r="N7" s="21">
        <f>Ppto!N9</f>
        <v>10</v>
      </c>
    </row>
    <row r="8" spans="2:14">
      <c r="D8" s="21">
        <f>Ppto!D10</f>
        <v>2023</v>
      </c>
      <c r="E8" s="21">
        <f>Ppto!E10</f>
        <v>2024</v>
      </c>
      <c r="F8" s="21">
        <f>Ppto!F10</f>
        <v>2025</v>
      </c>
      <c r="G8" s="21">
        <f>Ppto!G10</f>
        <v>2026</v>
      </c>
      <c r="H8" s="21">
        <f>Ppto!H10</f>
        <v>2027</v>
      </c>
      <c r="I8" s="21">
        <f>Ppto!I10</f>
        <v>2028</v>
      </c>
      <c r="J8" s="21">
        <f>Ppto!J10</f>
        <v>2029</v>
      </c>
      <c r="K8" s="21">
        <f>Ppto!K10</f>
        <v>2030</v>
      </c>
      <c r="L8" s="21">
        <f>Ppto!L10</f>
        <v>2031</v>
      </c>
      <c r="M8" s="21">
        <f>Ppto!M10</f>
        <v>2032</v>
      </c>
      <c r="N8" s="21">
        <f>Ppto!N10</f>
        <v>2033</v>
      </c>
    </row>
    <row r="9" spans="2:14">
      <c r="B9" s="16" t="str">
        <f>EEFFs!B8</f>
        <v>Ingresos</v>
      </c>
      <c r="D9" s="73">
        <v>0</v>
      </c>
      <c r="E9" s="73">
        <f>Comercial!$I$34</f>
        <v>1498601.8820380699</v>
      </c>
      <c r="F9" s="73">
        <f>Comercial!$I$34</f>
        <v>1498601.8820380699</v>
      </c>
      <c r="G9" s="73">
        <f>Comercial!$I$34</f>
        <v>1498601.8820380699</v>
      </c>
      <c r="H9" s="73">
        <f>Comercial!$I$34</f>
        <v>1498601.8820380699</v>
      </c>
      <c r="I9" s="73">
        <f>Comercial!$I$34</f>
        <v>1498601.8820380699</v>
      </c>
      <c r="J9" s="73">
        <f>Comercial!$I$34</f>
        <v>1498601.8820380699</v>
      </c>
      <c r="K9" s="73">
        <f>Comercial!$I$34</f>
        <v>1498601.8820380699</v>
      </c>
      <c r="L9" s="73">
        <f>Comercial!$I$34</f>
        <v>1498601.8820380699</v>
      </c>
      <c r="M9" s="73">
        <f>Comercial!$I$34</f>
        <v>1498601.8820380699</v>
      </c>
      <c r="N9" s="73">
        <f>Comercial!$I$34</f>
        <v>1498601.8820380699</v>
      </c>
    </row>
    <row r="10" spans="2:14">
      <c r="B10" s="16" t="str">
        <f>EEFFs!B9</f>
        <v>Costo de las ventas</v>
      </c>
      <c r="D10" s="73">
        <f>EEFFs!D9</f>
        <v>0</v>
      </c>
      <c r="E10" s="73">
        <f>EEFFs!E9</f>
        <v>-203245.60671527326</v>
      </c>
      <c r="F10" s="73">
        <f>EEFFs!F9</f>
        <v>-214479.17336496286</v>
      </c>
      <c r="G10" s="73">
        <f>EEFFs!G9</f>
        <v>-220991.05031936214</v>
      </c>
      <c r="H10" s="73">
        <f>EEFFs!H9</f>
        <v>-295592.88825841644</v>
      </c>
      <c r="I10" s="73">
        <f>EEFFs!I9</f>
        <v>-246517.24271768099</v>
      </c>
      <c r="J10" s="73">
        <f>EEFFs!J9</f>
        <v>-265841.19219056831</v>
      </c>
      <c r="K10" s="73">
        <f>EEFFs!K9</f>
        <v>-273094.05552643491</v>
      </c>
      <c r="L10" s="73">
        <f>EEFFs!L9</f>
        <v>-362513.32668747148</v>
      </c>
      <c r="M10" s="73">
        <f>EEFFs!M9</f>
        <v>-302562.94068209798</v>
      </c>
      <c r="N10" s="73">
        <f>EEFFs!N9</f>
        <v>-326282.08999097126</v>
      </c>
    </row>
    <row r="11" spans="2:14">
      <c r="B11" s="16" t="str">
        <f>EEFFs!B12</f>
        <v>Gastos de Admón y Ventas</v>
      </c>
      <c r="D11" s="73">
        <f>EEFFs!D12</f>
        <v>-41409.504948296009</v>
      </c>
      <c r="E11" s="73">
        <f>EEFFs!E12</f>
        <v>-57396.475282373074</v>
      </c>
      <c r="F11" s="73">
        <f>EEFFs!F12</f>
        <v>-55674.445616450139</v>
      </c>
      <c r="G11" s="73">
        <f>EEFFs!G12</f>
        <v>-53256.237345954294</v>
      </c>
      <c r="H11" s="73">
        <f>EEFFs!H12</f>
        <v>-50492.46207302234</v>
      </c>
      <c r="I11" s="73">
        <f>EEFFs!I12</f>
        <v>-47808.819462170373</v>
      </c>
      <c r="J11" s="73">
        <f>EEFFs!J12</f>
        <v>-45241.700002741622</v>
      </c>
      <c r="K11" s="73">
        <f>EEFFs!K12</f>
        <v>-42731.127071390714</v>
      </c>
      <c r="L11" s="73">
        <f>EEFFs!L12</f>
        <v>-40315.612062823187</v>
      </c>
      <c r="M11" s="73">
        <f>EEFFs!M12</f>
        <v>-38037.596004106541</v>
      </c>
      <c r="N11" s="73">
        <f>EEFFs!N12</f>
        <v>-35827.524282787097</v>
      </c>
    </row>
    <row r="12" spans="2:14">
      <c r="B12" s="52" t="s">
        <v>108</v>
      </c>
      <c r="C12" s="52"/>
      <c r="D12" s="95">
        <f t="shared" ref="D12:N12" si="0">SUM(D9:D11)</f>
        <v>-41409.504948296009</v>
      </c>
      <c r="E12" s="95">
        <f t="shared" si="0"/>
        <v>1237959.8000404234</v>
      </c>
      <c r="F12" s="95">
        <f t="shared" si="0"/>
        <v>1228448.2630566568</v>
      </c>
      <c r="G12" s="95">
        <f t="shared" si="0"/>
        <v>1224354.5943727533</v>
      </c>
      <c r="H12" s="95">
        <f t="shared" si="0"/>
        <v>1152516.5317066312</v>
      </c>
      <c r="I12" s="95">
        <f t="shared" si="0"/>
        <v>1204275.8198582185</v>
      </c>
      <c r="J12" s="95">
        <f t="shared" si="0"/>
        <v>1187518.9898447599</v>
      </c>
      <c r="K12" s="95">
        <f t="shared" si="0"/>
        <v>1182776.6994402444</v>
      </c>
      <c r="L12" s="95">
        <f t="shared" si="0"/>
        <v>1095772.9432877752</v>
      </c>
      <c r="M12" s="95">
        <f t="shared" si="0"/>
        <v>1158001.3453518653</v>
      </c>
      <c r="N12" s="95">
        <f t="shared" si="0"/>
        <v>1136492.2677643117</v>
      </c>
    </row>
    <row r="13" spans="2:14">
      <c r="B13" s="16" t="str">
        <f>EEFFs!B10</f>
        <v>Depreciación y Amortización</v>
      </c>
      <c r="D13" s="73">
        <f>EEFFs!D10</f>
        <v>0</v>
      </c>
      <c r="E13" s="73">
        <f>EEFFs!E10</f>
        <v>-414702.96659229341</v>
      </c>
      <c r="F13" s="73">
        <f>EEFFs!F10</f>
        <v>-414702.96659229341</v>
      </c>
      <c r="G13" s="73">
        <f>EEFFs!G10</f>
        <v>-414702.96659229341</v>
      </c>
      <c r="H13" s="73">
        <f>EEFFs!H10</f>
        <v>-414736.05009319633</v>
      </c>
      <c r="I13" s="73">
        <f>EEFFs!I10</f>
        <v>-414736.05009319633</v>
      </c>
      <c r="J13" s="73">
        <f>EEFFs!J10</f>
        <v>-414736.05009319633</v>
      </c>
      <c r="K13" s="73">
        <f>EEFFs!K10</f>
        <v>-414891.1078350406</v>
      </c>
      <c r="L13" s="73">
        <f>EEFFs!L10</f>
        <v>-414891.1078350406</v>
      </c>
      <c r="M13" s="73">
        <f>EEFFs!M10</f>
        <v>-414891.1078350406</v>
      </c>
      <c r="N13" s="73">
        <f>EEFFs!N10</f>
        <v>-415063.42179035867</v>
      </c>
    </row>
    <row r="14" spans="2:14">
      <c r="B14" s="52" t="str">
        <f>EEFFs!B13</f>
        <v>Resultado de Operación</v>
      </c>
      <c r="C14" s="52"/>
      <c r="D14" s="95">
        <f t="shared" ref="D14:N14" si="1">SUM(D12:D13)</f>
        <v>-41409.504948296009</v>
      </c>
      <c r="E14" s="95">
        <f t="shared" si="1"/>
        <v>823256.83344812994</v>
      </c>
      <c r="F14" s="95">
        <f t="shared" si="1"/>
        <v>813745.29646436335</v>
      </c>
      <c r="G14" s="95">
        <f t="shared" si="1"/>
        <v>809651.62778045982</v>
      </c>
      <c r="H14" s="95">
        <f t="shared" si="1"/>
        <v>737780.48161343485</v>
      </c>
      <c r="I14" s="95">
        <f t="shared" si="1"/>
        <v>789539.76976502221</v>
      </c>
      <c r="J14" s="95">
        <f t="shared" si="1"/>
        <v>772782.93975156359</v>
      </c>
      <c r="K14" s="95">
        <f t="shared" si="1"/>
        <v>767885.59160520369</v>
      </c>
      <c r="L14" s="95">
        <f t="shared" si="1"/>
        <v>680881.83545273449</v>
      </c>
      <c r="M14" s="95">
        <f t="shared" si="1"/>
        <v>743110.23751682462</v>
      </c>
      <c r="N14" s="95">
        <f t="shared" si="1"/>
        <v>721428.84597395314</v>
      </c>
    </row>
    <row r="15" spans="2:14">
      <c r="B15" s="16" t="s">
        <v>167</v>
      </c>
      <c r="D15" s="73">
        <f>EEFFs!D126</f>
        <v>14493.326731903602</v>
      </c>
      <c r="E15" s="73">
        <f>EEFFs!E126</f>
        <v>-288139.89170684549</v>
      </c>
      <c r="F15" s="73">
        <f>EEFFs!F126</f>
        <v>-284810.85376252717</v>
      </c>
      <c r="G15" s="73">
        <f>EEFFs!G126</f>
        <v>-283378.06972316094</v>
      </c>
      <c r="H15" s="73">
        <f>EEFFs!H126</f>
        <v>-258223.16856470215</v>
      </c>
      <c r="I15" s="73">
        <f>EEFFs!I126</f>
        <v>-276338.91941775777</v>
      </c>
      <c r="J15" s="73">
        <f>EEFFs!J126</f>
        <v>-270474.02891304722</v>
      </c>
      <c r="K15" s="73">
        <f>EEFFs!K126</f>
        <v>-268759.95706182125</v>
      </c>
      <c r="L15" s="73">
        <f>EEFFs!L126</f>
        <v>-238308.64240845709</v>
      </c>
      <c r="M15" s="73">
        <f>EEFFs!M126</f>
        <v>-260088.58313088861</v>
      </c>
      <c r="N15" s="73">
        <f>EEFFs!N126</f>
        <v>-252500.09609088354</v>
      </c>
    </row>
    <row r="16" spans="2:14">
      <c r="B16" s="52" t="s">
        <v>168</v>
      </c>
      <c r="C16" s="52"/>
      <c r="D16" s="95">
        <f t="shared" ref="D16:N16" si="2">SUM(D14:D15)</f>
        <v>-26916.178216392407</v>
      </c>
      <c r="E16" s="95">
        <f t="shared" si="2"/>
        <v>535116.94174128445</v>
      </c>
      <c r="F16" s="95">
        <f t="shared" si="2"/>
        <v>528934.44270183612</v>
      </c>
      <c r="G16" s="95">
        <f t="shared" si="2"/>
        <v>526273.55805729888</v>
      </c>
      <c r="H16" s="95">
        <f t="shared" si="2"/>
        <v>479557.3130487327</v>
      </c>
      <c r="I16" s="95">
        <f t="shared" si="2"/>
        <v>513200.85034726444</v>
      </c>
      <c r="J16" s="95">
        <f t="shared" si="2"/>
        <v>502308.91083851637</v>
      </c>
      <c r="K16" s="95">
        <f t="shared" si="2"/>
        <v>499125.63454338245</v>
      </c>
      <c r="L16" s="95">
        <f t="shared" si="2"/>
        <v>442573.19304427737</v>
      </c>
      <c r="M16" s="95">
        <f t="shared" si="2"/>
        <v>483021.65438593598</v>
      </c>
      <c r="N16" s="95">
        <f t="shared" si="2"/>
        <v>468928.7498830696</v>
      </c>
    </row>
    <row r="17" spans="2:14">
      <c r="B17" s="16" t="str">
        <f>B13</f>
        <v>Depreciación y Amortización</v>
      </c>
      <c r="D17" s="73">
        <f t="shared" ref="D17:N17" si="3">-D13</f>
        <v>0</v>
      </c>
      <c r="E17" s="73">
        <f t="shared" si="3"/>
        <v>414702.96659229341</v>
      </c>
      <c r="F17" s="73">
        <f t="shared" si="3"/>
        <v>414702.96659229341</v>
      </c>
      <c r="G17" s="73">
        <f t="shared" si="3"/>
        <v>414702.96659229341</v>
      </c>
      <c r="H17" s="73">
        <f t="shared" si="3"/>
        <v>414736.05009319633</v>
      </c>
      <c r="I17" s="73">
        <f t="shared" si="3"/>
        <v>414736.05009319633</v>
      </c>
      <c r="J17" s="73">
        <f t="shared" si="3"/>
        <v>414736.05009319633</v>
      </c>
      <c r="K17" s="73">
        <f t="shared" si="3"/>
        <v>414891.1078350406</v>
      </c>
      <c r="L17" s="73">
        <f t="shared" si="3"/>
        <v>414891.1078350406</v>
      </c>
      <c r="M17" s="73">
        <f t="shared" si="3"/>
        <v>414891.1078350406</v>
      </c>
      <c r="N17" s="73">
        <f t="shared" si="3"/>
        <v>415063.42179035867</v>
      </c>
    </row>
    <row r="18" spans="2:14">
      <c r="B18" s="16" t="str">
        <f>EEFFs!B114</f>
        <v>Variación de Capital de Trabajo neto Operativo</v>
      </c>
      <c r="D18" s="73">
        <f>-EEFFs!D114</f>
        <v>-14493.326731903602</v>
      </c>
      <c r="E18" s="73">
        <f>-EEFFs!E114</f>
        <v>100365.8738740751</v>
      </c>
      <c r="F18" s="73">
        <f>-EEFFs!F114</f>
        <v>-228838.78980392541</v>
      </c>
      <c r="G18" s="73">
        <f>-EEFFs!G114</f>
        <v>1764.4888220643625</v>
      </c>
      <c r="H18" s="73">
        <f>-EEFFs!H114</f>
        <v>-12025.461942502705</v>
      </c>
      <c r="I18" s="73">
        <f>-EEFFs!I114</f>
        <v>28421.633285032818</v>
      </c>
      <c r="J18" s="73">
        <f>-EEFFs!J114</f>
        <v>-16611.797254230536</v>
      </c>
      <c r="K18" s="73">
        <f>-EEFFs!K114</f>
        <v>3507.3574247329379</v>
      </c>
      <c r="L18" s="73">
        <f>-EEFFs!L114</f>
        <v>-14651.28665461464</v>
      </c>
      <c r="M18" s="73">
        <f>-EEFFs!M114</f>
        <v>34238.1695175895</v>
      </c>
      <c r="N18" s="73">
        <f>-EEFFs!N114</f>
        <v>-20365.036687547719</v>
      </c>
    </row>
    <row r="19" spans="2:14">
      <c r="B19" s="16" t="s">
        <v>169</v>
      </c>
      <c r="D19" s="73">
        <f>-Ppto!D198</f>
        <v>-4140950.4948296007</v>
      </c>
      <c r="E19" s="73">
        <f>-Ppto!E198</f>
        <v>0</v>
      </c>
      <c r="F19" s="73">
        <f>-Ppto!F198</f>
        <v>0</v>
      </c>
      <c r="G19" s="73">
        <f>-Ppto!G198</f>
        <v>-2704.6095427086843</v>
      </c>
      <c r="H19" s="73">
        <f>-Ppto!H198</f>
        <v>0</v>
      </c>
      <c r="I19" s="73">
        <f>-Ppto!I198</f>
        <v>0</v>
      </c>
      <c r="J19" s="73">
        <f>-Ppto!J198</f>
        <v>-3169.7827682415877</v>
      </c>
      <c r="K19" s="73">
        <f>-Ppto!K198</f>
        <v>0</v>
      </c>
      <c r="L19" s="73">
        <f>-Ppto!L198</f>
        <v>0</v>
      </c>
      <c r="M19" s="73">
        <f>-Ppto!M198</f>
        <v>-3686.7246341957857</v>
      </c>
      <c r="N19" s="73">
        <f>-Ppto!N198</f>
        <v>0</v>
      </c>
    </row>
    <row r="20" spans="2:14">
      <c r="B20" s="16" t="s">
        <v>170</v>
      </c>
      <c r="N20" s="73">
        <f>EEFFs!N99</f>
        <v>141145.99257402762</v>
      </c>
    </row>
    <row r="21" spans="2:14">
      <c r="B21" s="107" t="s">
        <v>171</v>
      </c>
      <c r="C21" s="108"/>
      <c r="D21" s="109">
        <f t="shared" ref="D21:N21" si="4">SUM(D16:D20)</f>
        <v>-4182359.9997778968</v>
      </c>
      <c r="E21" s="109">
        <f t="shared" si="4"/>
        <v>1050185.7822076529</v>
      </c>
      <c r="F21" s="109">
        <f t="shared" si="4"/>
        <v>714798.61949020415</v>
      </c>
      <c r="G21" s="109">
        <f t="shared" si="4"/>
        <v>940036.40392894798</v>
      </c>
      <c r="H21" s="109">
        <f t="shared" si="4"/>
        <v>882267.90119942627</v>
      </c>
      <c r="I21" s="109">
        <f t="shared" si="4"/>
        <v>956358.53372549359</v>
      </c>
      <c r="J21" s="109">
        <f t="shared" si="4"/>
        <v>897263.38090924057</v>
      </c>
      <c r="K21" s="109">
        <f t="shared" si="4"/>
        <v>917524.09980315599</v>
      </c>
      <c r="L21" s="109">
        <f t="shared" si="4"/>
        <v>842813.01422470342</v>
      </c>
      <c r="M21" s="109">
        <f t="shared" si="4"/>
        <v>928464.20710437035</v>
      </c>
      <c r="N21" s="109">
        <f t="shared" si="4"/>
        <v>1004773.1275599082</v>
      </c>
    </row>
    <row r="23" spans="2:14">
      <c r="B23" s="110" t="str">
        <f>CCPP!B17&amp;" (CCPP)"</f>
        <v>Costo de Capital Promedio Ponderado (CCPP)</v>
      </c>
      <c r="C23" s="111"/>
      <c r="D23" s="112">
        <f>CCPP!D17</f>
        <v>0.16743148830958393</v>
      </c>
    </row>
    <row r="24" spans="2:14">
      <c r="B24" s="113"/>
      <c r="D24" s="114"/>
    </row>
    <row r="25" spans="2:14">
      <c r="B25" s="113" t="s">
        <v>172</v>
      </c>
      <c r="D25" s="88">
        <f>NPV(D23,E21:N21)</f>
        <v>4284200.4035215862</v>
      </c>
    </row>
    <row r="26" spans="2:14">
      <c r="B26" s="113" t="s">
        <v>173</v>
      </c>
      <c r="D26" s="88">
        <f>D21</f>
        <v>-4182359.9997778968</v>
      </c>
    </row>
    <row r="27" spans="2:14">
      <c r="B27" s="115" t="s">
        <v>174</v>
      </c>
      <c r="C27" s="62"/>
      <c r="D27" s="116">
        <f>SUM(D25:D26)</f>
        <v>101840.40374368941</v>
      </c>
    </row>
    <row r="28" spans="2:14">
      <c r="B28" s="113" t="s">
        <v>175</v>
      </c>
      <c r="D28" s="117">
        <f>ABS(D25/D26)</f>
        <v>1.0243499851158431</v>
      </c>
    </row>
    <row r="29" spans="2:14">
      <c r="B29" s="113" t="s">
        <v>176</v>
      </c>
      <c r="D29" s="118">
        <f>IRR(D21:N21)</f>
        <v>0.17406182472166343</v>
      </c>
    </row>
    <row r="30" spans="2:14">
      <c r="B30" s="113" t="s">
        <v>177</v>
      </c>
      <c r="D30" s="118">
        <f>MIRR(D21:N21,D23,D23)</f>
        <v>0.17024350549000866</v>
      </c>
    </row>
    <row r="31" spans="2:14">
      <c r="B31" s="113" t="s">
        <v>178</v>
      </c>
      <c r="D31" s="119">
        <f>SUM(E37:N37)</f>
        <v>4.6222261546969898</v>
      </c>
    </row>
    <row r="32" spans="2:14">
      <c r="B32" s="120" t="s">
        <v>179</v>
      </c>
      <c r="C32" s="89"/>
      <c r="D32" s="121">
        <f>SUM(E42:N42)</f>
        <v>9.5233867282920315</v>
      </c>
    </row>
    <row r="34" spans="2:14">
      <c r="B34" s="62" t="s">
        <v>180</v>
      </c>
      <c r="C34" s="62"/>
      <c r="D34" s="21">
        <f t="shared" ref="D34:N34" si="5">D$7</f>
        <v>0</v>
      </c>
      <c r="E34" s="21">
        <f t="shared" si="5"/>
        <v>1</v>
      </c>
      <c r="F34" s="21">
        <f t="shared" si="5"/>
        <v>2</v>
      </c>
      <c r="G34" s="21">
        <f t="shared" si="5"/>
        <v>3</v>
      </c>
      <c r="H34" s="21">
        <f t="shared" si="5"/>
        <v>4</v>
      </c>
      <c r="I34" s="21">
        <f t="shared" si="5"/>
        <v>5</v>
      </c>
      <c r="J34" s="21">
        <f t="shared" si="5"/>
        <v>6</v>
      </c>
      <c r="K34" s="21">
        <f t="shared" si="5"/>
        <v>7</v>
      </c>
      <c r="L34" s="21">
        <f t="shared" si="5"/>
        <v>8</v>
      </c>
      <c r="M34" s="21">
        <f t="shared" si="5"/>
        <v>9</v>
      </c>
      <c r="N34" s="21">
        <f t="shared" si="5"/>
        <v>10</v>
      </c>
    </row>
    <row r="35" spans="2:14">
      <c r="B35" s="16" t="str">
        <f>B21</f>
        <v>Flujo de Caja del Proyecto Puro (FCL)</v>
      </c>
      <c r="D35" s="73">
        <f t="shared" ref="D35:N35" si="6">D21</f>
        <v>-4182359.9997778968</v>
      </c>
      <c r="E35" s="73">
        <f t="shared" si="6"/>
        <v>1050185.7822076529</v>
      </c>
      <c r="F35" s="73">
        <f t="shared" si="6"/>
        <v>714798.61949020415</v>
      </c>
      <c r="G35" s="73">
        <f t="shared" si="6"/>
        <v>940036.40392894798</v>
      </c>
      <c r="H35" s="73">
        <f t="shared" si="6"/>
        <v>882267.90119942627</v>
      </c>
      <c r="I35" s="73">
        <f t="shared" si="6"/>
        <v>956358.53372549359</v>
      </c>
      <c r="J35" s="73">
        <f t="shared" si="6"/>
        <v>897263.38090924057</v>
      </c>
      <c r="K35" s="73">
        <f t="shared" si="6"/>
        <v>917524.09980315599</v>
      </c>
      <c r="L35" s="73">
        <f t="shared" si="6"/>
        <v>842813.01422470342</v>
      </c>
      <c r="M35" s="73">
        <f t="shared" si="6"/>
        <v>928464.20710437035</v>
      </c>
      <c r="N35" s="73">
        <f t="shared" si="6"/>
        <v>1004773.1275599082</v>
      </c>
    </row>
    <row r="36" spans="2:14">
      <c r="B36" s="16" t="str">
        <f>"Acumulado "&amp;B35</f>
        <v>Acumulado Flujo de Caja del Proyecto Puro (FCL)</v>
      </c>
      <c r="D36" s="73">
        <f t="shared" ref="D36:N36" si="7">C36+D35</f>
        <v>-4182359.9997778968</v>
      </c>
      <c r="E36" s="73">
        <f t="shared" si="7"/>
        <v>-3132174.2175702439</v>
      </c>
      <c r="F36" s="73">
        <f t="shared" si="7"/>
        <v>-2417375.59808004</v>
      </c>
      <c r="G36" s="73">
        <f t="shared" si="7"/>
        <v>-1477339.1941510919</v>
      </c>
      <c r="H36" s="73">
        <f t="shared" si="7"/>
        <v>-595071.29295166559</v>
      </c>
      <c r="I36" s="73">
        <f t="shared" si="7"/>
        <v>361287.240773828</v>
      </c>
      <c r="J36" s="73">
        <f t="shared" si="7"/>
        <v>1258550.6216830686</v>
      </c>
      <c r="K36" s="73">
        <f t="shared" si="7"/>
        <v>2176074.7214862248</v>
      </c>
      <c r="L36" s="73">
        <f t="shared" si="7"/>
        <v>3018887.7357109282</v>
      </c>
      <c r="M36" s="73">
        <f t="shared" si="7"/>
        <v>3947351.9428152987</v>
      </c>
      <c r="N36" s="73">
        <f t="shared" si="7"/>
        <v>4952125.0703752069</v>
      </c>
    </row>
    <row r="37" spans="2:14">
      <c r="B37" s="16" t="str">
        <f>B34</f>
        <v>Periodo de Recuperación de la Inversión Simple FCL  (PRI)</v>
      </c>
      <c r="D37" s="122" t="str">
        <f t="shared" ref="D37:N37" si="8">IF(AND(C36&lt;0,D36&gt;0),C$34+ABS(C36/D35)," ")</f>
        <v xml:space="preserve"> </v>
      </c>
      <c r="E37" s="122" t="str">
        <f t="shared" si="8"/>
        <v xml:space="preserve"> </v>
      </c>
      <c r="F37" s="122" t="str">
        <f t="shared" si="8"/>
        <v xml:space="preserve"> </v>
      </c>
      <c r="G37" s="122" t="str">
        <f t="shared" si="8"/>
        <v xml:space="preserve"> </v>
      </c>
      <c r="H37" s="122" t="str">
        <f t="shared" si="8"/>
        <v xml:space="preserve"> </v>
      </c>
      <c r="I37" s="122">
        <f t="shared" si="8"/>
        <v>4.6222261546969898</v>
      </c>
      <c r="J37" s="122" t="str">
        <f t="shared" si="8"/>
        <v xml:space="preserve"> </v>
      </c>
      <c r="K37" s="122" t="str">
        <f t="shared" si="8"/>
        <v xml:space="preserve"> </v>
      </c>
      <c r="L37" s="122" t="str">
        <f t="shared" si="8"/>
        <v xml:space="preserve"> </v>
      </c>
      <c r="M37" s="122" t="str">
        <f t="shared" si="8"/>
        <v xml:space="preserve"> </v>
      </c>
      <c r="N37" s="122" t="str">
        <f t="shared" si="8"/>
        <v xml:space="preserve"> </v>
      </c>
    </row>
    <row r="39" spans="2:14">
      <c r="B39" s="62" t="s">
        <v>181</v>
      </c>
      <c r="C39" s="62"/>
      <c r="D39" s="21">
        <f t="shared" ref="D39:N39" si="9">D$7</f>
        <v>0</v>
      </c>
      <c r="E39" s="21">
        <f t="shared" si="9"/>
        <v>1</v>
      </c>
      <c r="F39" s="21">
        <f t="shared" si="9"/>
        <v>2</v>
      </c>
      <c r="G39" s="21">
        <f t="shared" si="9"/>
        <v>3</v>
      </c>
      <c r="H39" s="21">
        <f t="shared" si="9"/>
        <v>4</v>
      </c>
      <c r="I39" s="21">
        <f t="shared" si="9"/>
        <v>5</v>
      </c>
      <c r="J39" s="21">
        <f t="shared" si="9"/>
        <v>6</v>
      </c>
      <c r="K39" s="21">
        <f t="shared" si="9"/>
        <v>7</v>
      </c>
      <c r="L39" s="21">
        <f t="shared" si="9"/>
        <v>8</v>
      </c>
      <c r="M39" s="21">
        <f t="shared" si="9"/>
        <v>9</v>
      </c>
      <c r="N39" s="21">
        <f t="shared" si="9"/>
        <v>10</v>
      </c>
    </row>
    <row r="40" spans="2:14">
      <c r="B40" s="16" t="str">
        <f>"Valor presente del "&amp;B35</f>
        <v>Valor presente del Flujo de Caja del Proyecto Puro (FCL)</v>
      </c>
      <c r="D40" s="73">
        <f t="shared" ref="D40:N40" si="10">PV($D23,D39,,-D35)</f>
        <v>-4182359.9997778968</v>
      </c>
      <c r="E40" s="73">
        <f t="shared" si="10"/>
        <v>899569.51883172151</v>
      </c>
      <c r="F40" s="73">
        <f t="shared" si="10"/>
        <v>524470.29904899735</v>
      </c>
      <c r="G40" s="73">
        <f t="shared" si="10"/>
        <v>590813.57206904935</v>
      </c>
      <c r="H40" s="73">
        <f t="shared" si="10"/>
        <v>474979.50082568126</v>
      </c>
      <c r="I40" s="73">
        <f t="shared" si="10"/>
        <v>441025.52155369503</v>
      </c>
      <c r="J40" s="73">
        <f t="shared" si="10"/>
        <v>354430.85744049371</v>
      </c>
      <c r="K40" s="73">
        <f t="shared" si="10"/>
        <v>310454.28530925495</v>
      </c>
      <c r="L40" s="73">
        <f t="shared" si="10"/>
        <v>244275.55500349696</v>
      </c>
      <c r="M40" s="73">
        <f t="shared" si="10"/>
        <v>230506.16144226358</v>
      </c>
      <c r="N40" s="73">
        <f t="shared" si="10"/>
        <v>213675.1319969334</v>
      </c>
    </row>
    <row r="41" spans="2:14">
      <c r="B41" s="16" t="str">
        <f>"Acumulado "&amp;B40</f>
        <v>Acumulado Valor presente del Flujo de Caja del Proyecto Puro (FCL)</v>
      </c>
      <c r="D41" s="73">
        <f t="shared" ref="D41:N41" si="11">C41+D40</f>
        <v>-4182359.9997778968</v>
      </c>
      <c r="E41" s="73">
        <f t="shared" si="11"/>
        <v>-3282790.4809461753</v>
      </c>
      <c r="F41" s="73">
        <f t="shared" si="11"/>
        <v>-2758320.1818971778</v>
      </c>
      <c r="G41" s="73">
        <f t="shared" si="11"/>
        <v>-2167506.6098281285</v>
      </c>
      <c r="H41" s="73">
        <f t="shared" si="11"/>
        <v>-1692527.1090024472</v>
      </c>
      <c r="I41" s="73">
        <f t="shared" si="11"/>
        <v>-1251501.5874487523</v>
      </c>
      <c r="J41" s="73">
        <f t="shared" si="11"/>
        <v>-897070.73000825848</v>
      </c>
      <c r="K41" s="73">
        <f t="shared" si="11"/>
        <v>-586616.44469900359</v>
      </c>
      <c r="L41" s="73">
        <f t="shared" si="11"/>
        <v>-342340.88969550666</v>
      </c>
      <c r="M41" s="73">
        <f t="shared" si="11"/>
        <v>-111834.72825324308</v>
      </c>
      <c r="N41" s="73">
        <f t="shared" si="11"/>
        <v>101840.40374369032</v>
      </c>
    </row>
    <row r="42" spans="2:14">
      <c r="B42" s="16" t="str">
        <f>B39</f>
        <v>Periodo de Recuperación de la Inversión Descontado FCL  (PRID)</v>
      </c>
      <c r="E42" s="122" t="str">
        <f t="shared" ref="E42:N42" si="12">IF(AND(D41&lt;0,E41&gt;0),D$34+ABS(D41/E40)," ")</f>
        <v xml:space="preserve"> </v>
      </c>
      <c r="F42" s="122" t="str">
        <f t="shared" si="12"/>
        <v xml:space="preserve"> </v>
      </c>
      <c r="G42" s="122" t="str">
        <f t="shared" si="12"/>
        <v xml:space="preserve"> </v>
      </c>
      <c r="H42" s="122" t="str">
        <f t="shared" si="12"/>
        <v xml:space="preserve"> </v>
      </c>
      <c r="I42" s="122" t="str">
        <f t="shared" si="12"/>
        <v xml:space="preserve"> </v>
      </c>
      <c r="J42" s="122" t="str">
        <f t="shared" si="12"/>
        <v xml:space="preserve"> </v>
      </c>
      <c r="K42" s="122" t="str">
        <f t="shared" si="12"/>
        <v xml:space="preserve"> </v>
      </c>
      <c r="L42" s="122" t="str">
        <f t="shared" si="12"/>
        <v xml:space="preserve"> </v>
      </c>
      <c r="M42" s="122" t="str">
        <f t="shared" si="12"/>
        <v xml:space="preserve"> </v>
      </c>
      <c r="N42" s="122">
        <f t="shared" si="12"/>
        <v>9.5233867282920315</v>
      </c>
    </row>
    <row r="44" spans="2:14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6" spans="2:14">
      <c r="B46" s="10" t="str">
        <f>Comercial!D$2</f>
        <v>Solución Empresa ABC SAS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>
      <c r="B47" s="10" t="s">
        <v>182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>
      <c r="B48" s="9" t="str">
        <f>"Valores en "&amp;Ppto!D$3</f>
        <v>Valores en Miles de pesos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50" spans="2:14">
      <c r="D50" s="21">
        <f t="shared" ref="D50:N50" si="13">D$7</f>
        <v>0</v>
      </c>
      <c r="E50" s="21">
        <f t="shared" si="13"/>
        <v>1</v>
      </c>
      <c r="F50" s="21">
        <f t="shared" si="13"/>
        <v>2</v>
      </c>
      <c r="G50" s="21">
        <f t="shared" si="13"/>
        <v>3</v>
      </c>
      <c r="H50" s="21">
        <f t="shared" si="13"/>
        <v>4</v>
      </c>
      <c r="I50" s="21">
        <f t="shared" si="13"/>
        <v>5</v>
      </c>
      <c r="J50" s="21">
        <f t="shared" si="13"/>
        <v>6</v>
      </c>
      <c r="K50" s="21">
        <f t="shared" si="13"/>
        <v>7</v>
      </c>
      <c r="L50" s="21">
        <f t="shared" si="13"/>
        <v>8</v>
      </c>
      <c r="M50" s="21">
        <f t="shared" si="13"/>
        <v>9</v>
      </c>
      <c r="N50" s="21">
        <f t="shared" si="13"/>
        <v>10</v>
      </c>
    </row>
    <row r="51" spans="2:14">
      <c r="D51" s="21">
        <f t="shared" ref="D51:N51" si="14">D$8</f>
        <v>2023</v>
      </c>
      <c r="E51" s="21">
        <f t="shared" si="14"/>
        <v>2024</v>
      </c>
      <c r="F51" s="21">
        <f t="shared" si="14"/>
        <v>2025</v>
      </c>
      <c r="G51" s="21">
        <f t="shared" si="14"/>
        <v>2026</v>
      </c>
      <c r="H51" s="21">
        <f t="shared" si="14"/>
        <v>2027</v>
      </c>
      <c r="I51" s="21">
        <f t="shared" si="14"/>
        <v>2028</v>
      </c>
      <c r="J51" s="21">
        <f t="shared" si="14"/>
        <v>2029</v>
      </c>
      <c r="K51" s="21">
        <f t="shared" si="14"/>
        <v>2030</v>
      </c>
      <c r="L51" s="21">
        <f t="shared" si="14"/>
        <v>2031</v>
      </c>
      <c r="M51" s="21">
        <f t="shared" si="14"/>
        <v>2032</v>
      </c>
      <c r="N51" s="21">
        <f t="shared" si="14"/>
        <v>2033</v>
      </c>
    </row>
    <row r="52" spans="2:14">
      <c r="B52" s="16" t="str">
        <f>B21</f>
        <v>Flujo de Caja del Proyecto Puro (FCL)</v>
      </c>
      <c r="D52" s="73">
        <f t="shared" ref="D52:N52" si="15">D21</f>
        <v>-4182359.9997778968</v>
      </c>
      <c r="E52" s="73">
        <f t="shared" si="15"/>
        <v>1050185.7822076529</v>
      </c>
      <c r="F52" s="73">
        <f t="shared" si="15"/>
        <v>714798.61949020415</v>
      </c>
      <c r="G52" s="73">
        <f t="shared" si="15"/>
        <v>940036.40392894798</v>
      </c>
      <c r="H52" s="73">
        <f t="shared" si="15"/>
        <v>882267.90119942627</v>
      </c>
      <c r="I52" s="73">
        <f t="shared" si="15"/>
        <v>956358.53372549359</v>
      </c>
      <c r="J52" s="73">
        <f t="shared" si="15"/>
        <v>897263.38090924057</v>
      </c>
      <c r="K52" s="73">
        <f t="shared" si="15"/>
        <v>917524.09980315599</v>
      </c>
      <c r="L52" s="73">
        <f t="shared" si="15"/>
        <v>842813.01422470342</v>
      </c>
      <c r="M52" s="73">
        <f t="shared" si="15"/>
        <v>928464.20710437035</v>
      </c>
      <c r="N52" s="73">
        <f t="shared" si="15"/>
        <v>1004773.1275599082</v>
      </c>
    </row>
    <row r="53" spans="2:14">
      <c r="B53" s="16" t="s">
        <v>133</v>
      </c>
      <c r="D53" s="73">
        <f>Ppto!D278</f>
        <v>1672943.9999111588</v>
      </c>
      <c r="E53" s="73">
        <f>Ppto!E278</f>
        <v>0</v>
      </c>
      <c r="F53" s="73">
        <f>Ppto!F278</f>
        <v>0</v>
      </c>
      <c r="G53" s="73">
        <f>Ppto!G278</f>
        <v>0</v>
      </c>
      <c r="H53" s="73">
        <f>Ppto!H278</f>
        <v>0</v>
      </c>
      <c r="I53" s="73">
        <f>Ppto!I278</f>
        <v>0</v>
      </c>
      <c r="J53" s="73">
        <f>Ppto!J278</f>
        <v>0</v>
      </c>
      <c r="K53" s="73">
        <f>Ppto!K278</f>
        <v>0</v>
      </c>
      <c r="L53" s="73">
        <f>Ppto!L278</f>
        <v>0</v>
      </c>
      <c r="M53" s="73">
        <f>Ppto!M278</f>
        <v>0</v>
      </c>
      <c r="N53" s="73">
        <f>Ppto!N278</f>
        <v>0</v>
      </c>
    </row>
    <row r="54" spans="2:14">
      <c r="B54" s="16" t="s">
        <v>183</v>
      </c>
      <c r="D54" s="73">
        <f>Ppto!D280</f>
        <v>0</v>
      </c>
      <c r="E54" s="73">
        <f>Ppto!E280</f>
        <v>-334588.79998223175</v>
      </c>
      <c r="F54" s="73">
        <f>Ppto!F280</f>
        <v>-334588.79998223175</v>
      </c>
      <c r="G54" s="73">
        <f>Ppto!G280</f>
        <v>-334588.79998223175</v>
      </c>
      <c r="H54" s="73">
        <f>Ppto!H280</f>
        <v>-334588.79998223175</v>
      </c>
      <c r="I54" s="73">
        <f>Ppto!I280</f>
        <v>-334588.79998223175</v>
      </c>
      <c r="J54" s="73">
        <f>Ppto!J280</f>
        <v>0</v>
      </c>
      <c r="K54" s="73">
        <f>Ppto!K280</f>
        <v>0</v>
      </c>
      <c r="L54" s="73">
        <f>Ppto!L280</f>
        <v>0</v>
      </c>
      <c r="M54" s="73">
        <f>Ppto!M280</f>
        <v>0</v>
      </c>
      <c r="N54" s="73">
        <f>Ppto!N280</f>
        <v>0</v>
      </c>
    </row>
    <row r="55" spans="2:14">
      <c r="B55" s="16" t="s">
        <v>184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2:14">
      <c r="B56" s="16" t="s">
        <v>104</v>
      </c>
      <c r="D56" s="73">
        <f>Ppto!D281</f>
        <v>0</v>
      </c>
      <c r="E56" s="73">
        <f>Ppto!E281</f>
        <v>-292804.59555791889</v>
      </c>
      <c r="F56" s="73">
        <f>Ppto!F281</f>
        <v>-184799.46856783101</v>
      </c>
      <c r="G56" s="73">
        <f>Ppto!G281</f>
        <v>-129928.47071681001</v>
      </c>
      <c r="H56" s="73">
        <f>Ppto!H281</f>
        <v>-85968.69824914803</v>
      </c>
      <c r="I56" s="73">
        <f>Ppto!I281</f>
        <v>-42984.349124574008</v>
      </c>
      <c r="J56" s="73">
        <f>Ppto!J281</f>
        <v>0</v>
      </c>
      <c r="K56" s="73">
        <f>Ppto!K281</f>
        <v>0</v>
      </c>
      <c r="L56" s="73">
        <f>Ppto!L281</f>
        <v>0</v>
      </c>
      <c r="M56" s="73">
        <f>Ppto!M281</f>
        <v>0</v>
      </c>
      <c r="N56" s="73">
        <f>Ppto!N281</f>
        <v>0</v>
      </c>
    </row>
    <row r="57" spans="2:14">
      <c r="B57" s="16" t="s">
        <v>185</v>
      </c>
      <c r="D57" s="73">
        <f>-D56*CCPP!$C$25</f>
        <v>0</v>
      </c>
      <c r="E57" s="73">
        <f>-E56*CCPP!$C$25</f>
        <v>102481.60844527162</v>
      </c>
      <c r="F57" s="73">
        <f>-F56*CCPP!$C$25</f>
        <v>64679.813998740858</v>
      </c>
      <c r="G57" s="73">
        <f>-G56*CCPP!$C$25</f>
        <v>45474.964750883511</v>
      </c>
      <c r="H57" s="73">
        <f>-H56*CCPP!$C$25</f>
        <v>30089.044387201815</v>
      </c>
      <c r="I57" s="73">
        <f>-I56*CCPP!$C$25</f>
        <v>15044.522193600904</v>
      </c>
      <c r="J57" s="73">
        <f>-J56*CCPP!$C$25</f>
        <v>0</v>
      </c>
      <c r="K57" s="73">
        <f>-K56*CCPP!$C$25</f>
        <v>0</v>
      </c>
      <c r="L57" s="73">
        <f>-L56*CCPP!$C$25</f>
        <v>0</v>
      </c>
      <c r="M57" s="73">
        <f>-M56*CCPP!$C$25</f>
        <v>0</v>
      </c>
      <c r="N57" s="73">
        <f>-N56*CCPP!$C$25</f>
        <v>0</v>
      </c>
    </row>
    <row r="58" spans="2:14">
      <c r="B58" s="123" t="s">
        <v>182</v>
      </c>
      <c r="C58" s="124"/>
      <c r="D58" s="125">
        <f t="shared" ref="D58:N58" si="16">SUM(D52:D57)</f>
        <v>-2509415.999866738</v>
      </c>
      <c r="E58" s="125">
        <f t="shared" si="16"/>
        <v>525273.99511277385</v>
      </c>
      <c r="F58" s="125">
        <f t="shared" si="16"/>
        <v>260090.16493888226</v>
      </c>
      <c r="G58" s="125">
        <f t="shared" si="16"/>
        <v>520994.09798078978</v>
      </c>
      <c r="H58" s="125">
        <f t="shared" si="16"/>
        <v>491799.44735524827</v>
      </c>
      <c r="I58" s="125">
        <f t="shared" si="16"/>
        <v>593829.90681228868</v>
      </c>
      <c r="J58" s="125">
        <f t="shared" si="16"/>
        <v>897263.38090924057</v>
      </c>
      <c r="K58" s="125">
        <f t="shared" si="16"/>
        <v>917524.09980315599</v>
      </c>
      <c r="L58" s="125">
        <f t="shared" si="16"/>
        <v>842813.01422470342</v>
      </c>
      <c r="M58" s="125">
        <f t="shared" si="16"/>
        <v>928464.20710437035</v>
      </c>
      <c r="N58" s="125">
        <f t="shared" si="16"/>
        <v>1004773.1275599082</v>
      </c>
    </row>
    <row r="60" spans="2:14">
      <c r="B60" s="110" t="str">
        <f>CCPP!B12&amp;" (Kp)"</f>
        <v>Costo de Patrimonio (Kp)</v>
      </c>
      <c r="C60" s="111"/>
      <c r="D60" s="112">
        <f>CCPP!D12</f>
        <v>0.18858976721899678</v>
      </c>
    </row>
    <row r="61" spans="2:14">
      <c r="B61" s="113"/>
      <c r="D61" s="114"/>
    </row>
    <row r="62" spans="2:14">
      <c r="B62" s="113" t="s">
        <v>186</v>
      </c>
      <c r="D62" s="88">
        <f>NPV(D60,E58:N58)</f>
        <v>2611256.4036104348</v>
      </c>
    </row>
    <row r="63" spans="2:14">
      <c r="B63" s="113" t="s">
        <v>187</v>
      </c>
      <c r="D63" s="88">
        <f>D58</f>
        <v>-2509415.999866738</v>
      </c>
    </row>
    <row r="64" spans="2:14">
      <c r="B64" s="115" t="s">
        <v>188</v>
      </c>
      <c r="C64" s="62"/>
      <c r="D64" s="116">
        <f>SUM(D62:D63)</f>
        <v>101840.40374369686</v>
      </c>
    </row>
    <row r="65" spans="2:14">
      <c r="B65" s="113" t="s">
        <v>189</v>
      </c>
      <c r="D65" s="117">
        <f>ABS(D62/D63)</f>
        <v>1.0405833085264082</v>
      </c>
    </row>
    <row r="66" spans="2:14">
      <c r="B66" s="113" t="s">
        <v>190</v>
      </c>
      <c r="D66" s="118">
        <f>IRR(D58:N58)</f>
        <v>0.19815333198994822</v>
      </c>
    </row>
    <row r="67" spans="2:14">
      <c r="B67" s="113" t="s">
        <v>191</v>
      </c>
      <c r="D67" s="118">
        <f>MIRR(D58:N58,D60,D60)</f>
        <v>0.19332756479235735</v>
      </c>
    </row>
    <row r="68" spans="2:14">
      <c r="B68" s="113" t="s">
        <v>192</v>
      </c>
      <c r="D68" s="119">
        <f>SUM(E74:N74)</f>
        <v>5.1308739330783331</v>
      </c>
    </row>
    <row r="69" spans="2:14">
      <c r="B69" s="120" t="s">
        <v>193</v>
      </c>
      <c r="C69" s="89"/>
      <c r="D69" s="121">
        <f>SUM(E79:N79)</f>
        <v>9.4296099103745163</v>
      </c>
    </row>
    <row r="71" spans="2:14">
      <c r="B71" s="62" t="s">
        <v>194</v>
      </c>
      <c r="C71" s="62"/>
      <c r="D71" s="21">
        <f t="shared" ref="D71:N71" si="17">D$7</f>
        <v>0</v>
      </c>
      <c r="E71" s="21">
        <f t="shared" si="17"/>
        <v>1</v>
      </c>
      <c r="F71" s="21">
        <f t="shared" si="17"/>
        <v>2</v>
      </c>
      <c r="G71" s="21">
        <f t="shared" si="17"/>
        <v>3</v>
      </c>
      <c r="H71" s="21">
        <f t="shared" si="17"/>
        <v>4</v>
      </c>
      <c r="I71" s="21">
        <f t="shared" si="17"/>
        <v>5</v>
      </c>
      <c r="J71" s="21">
        <f t="shared" si="17"/>
        <v>6</v>
      </c>
      <c r="K71" s="21">
        <f t="shared" si="17"/>
        <v>7</v>
      </c>
      <c r="L71" s="21">
        <f t="shared" si="17"/>
        <v>8</v>
      </c>
      <c r="M71" s="21">
        <f t="shared" si="17"/>
        <v>9</v>
      </c>
      <c r="N71" s="21">
        <f t="shared" si="17"/>
        <v>10</v>
      </c>
    </row>
    <row r="72" spans="2:14">
      <c r="B72" s="16" t="str">
        <f>B58</f>
        <v>Flujo de Caja del Proyecto Financiado ( FCAcc)</v>
      </c>
      <c r="D72" s="73">
        <f t="shared" ref="D72:N72" si="18">D58</f>
        <v>-2509415.999866738</v>
      </c>
      <c r="E72" s="73">
        <f t="shared" si="18"/>
        <v>525273.99511277385</v>
      </c>
      <c r="F72" s="73">
        <f t="shared" si="18"/>
        <v>260090.16493888226</v>
      </c>
      <c r="G72" s="73">
        <f t="shared" si="18"/>
        <v>520994.09798078978</v>
      </c>
      <c r="H72" s="73">
        <f t="shared" si="18"/>
        <v>491799.44735524827</v>
      </c>
      <c r="I72" s="73">
        <f t="shared" si="18"/>
        <v>593829.90681228868</v>
      </c>
      <c r="J72" s="73">
        <f t="shared" si="18"/>
        <v>897263.38090924057</v>
      </c>
      <c r="K72" s="73">
        <f t="shared" si="18"/>
        <v>917524.09980315599</v>
      </c>
      <c r="L72" s="73">
        <f t="shared" si="18"/>
        <v>842813.01422470342</v>
      </c>
      <c r="M72" s="73">
        <f t="shared" si="18"/>
        <v>928464.20710437035</v>
      </c>
      <c r="N72" s="73">
        <f t="shared" si="18"/>
        <v>1004773.1275599082</v>
      </c>
    </row>
    <row r="73" spans="2:14">
      <c r="B73" s="16" t="str">
        <f>"Acumulado "&amp;B72</f>
        <v>Acumulado Flujo de Caja del Proyecto Financiado ( FCAcc)</v>
      </c>
      <c r="D73" s="73">
        <f t="shared" ref="D73:N73" si="19">C73+D72</f>
        <v>-2509415.999866738</v>
      </c>
      <c r="E73" s="73">
        <f t="shared" si="19"/>
        <v>-1984142.004753964</v>
      </c>
      <c r="F73" s="73">
        <f t="shared" si="19"/>
        <v>-1724051.8398150818</v>
      </c>
      <c r="G73" s="73">
        <f t="shared" si="19"/>
        <v>-1203057.741834292</v>
      </c>
      <c r="H73" s="73">
        <f t="shared" si="19"/>
        <v>-711258.29447904369</v>
      </c>
      <c r="I73" s="73">
        <f t="shared" si="19"/>
        <v>-117428.38766675501</v>
      </c>
      <c r="J73" s="73">
        <f t="shared" si="19"/>
        <v>779834.99324248557</v>
      </c>
      <c r="K73" s="73">
        <f t="shared" si="19"/>
        <v>1697359.0930456417</v>
      </c>
      <c r="L73" s="73">
        <f t="shared" si="19"/>
        <v>2540172.1072703451</v>
      </c>
      <c r="M73" s="73">
        <f t="shared" si="19"/>
        <v>3468636.3143747156</v>
      </c>
      <c r="N73" s="73">
        <f t="shared" si="19"/>
        <v>4473409.4419346238</v>
      </c>
    </row>
    <row r="74" spans="2:14">
      <c r="B74" s="16" t="str">
        <f>B71</f>
        <v>Periodo de Recuperación de la Inversión Simple FCAcc (PRI)</v>
      </c>
      <c r="D74" s="122" t="str">
        <f t="shared" ref="D74:N74" si="20">IF(AND(C73&lt;0,D73&gt;0),C$34+ABS(C73/D72)," ")</f>
        <v xml:space="preserve"> </v>
      </c>
      <c r="E74" s="122" t="str">
        <f t="shared" si="20"/>
        <v xml:space="preserve"> </v>
      </c>
      <c r="F74" s="122" t="str">
        <f t="shared" si="20"/>
        <v xml:space="preserve"> </v>
      </c>
      <c r="G74" s="122" t="str">
        <f t="shared" si="20"/>
        <v xml:space="preserve"> </v>
      </c>
      <c r="H74" s="122" t="str">
        <f t="shared" si="20"/>
        <v xml:space="preserve"> </v>
      </c>
      <c r="I74" s="122" t="str">
        <f t="shared" si="20"/>
        <v xml:space="preserve"> </v>
      </c>
      <c r="J74" s="122">
        <f t="shared" si="20"/>
        <v>5.1308739330783331</v>
      </c>
      <c r="K74" s="122" t="str">
        <f t="shared" si="20"/>
        <v xml:space="preserve"> </v>
      </c>
      <c r="L74" s="122" t="str">
        <f t="shared" si="20"/>
        <v xml:space="preserve"> </v>
      </c>
      <c r="M74" s="122" t="str">
        <f t="shared" si="20"/>
        <v xml:space="preserve"> </v>
      </c>
      <c r="N74" s="122" t="str">
        <f t="shared" si="20"/>
        <v xml:space="preserve"> </v>
      </c>
    </row>
    <row r="76" spans="2:14">
      <c r="B76" s="62" t="s">
        <v>195</v>
      </c>
      <c r="C76" s="62"/>
      <c r="D76" s="21">
        <f t="shared" ref="D76:N76" si="21">D$7</f>
        <v>0</v>
      </c>
      <c r="E76" s="21">
        <f t="shared" si="21"/>
        <v>1</v>
      </c>
      <c r="F76" s="21">
        <f t="shared" si="21"/>
        <v>2</v>
      </c>
      <c r="G76" s="21">
        <f t="shared" si="21"/>
        <v>3</v>
      </c>
      <c r="H76" s="21">
        <f t="shared" si="21"/>
        <v>4</v>
      </c>
      <c r="I76" s="21">
        <f t="shared" si="21"/>
        <v>5</v>
      </c>
      <c r="J76" s="21">
        <f t="shared" si="21"/>
        <v>6</v>
      </c>
      <c r="K76" s="21">
        <f t="shared" si="21"/>
        <v>7</v>
      </c>
      <c r="L76" s="21">
        <f t="shared" si="21"/>
        <v>8</v>
      </c>
      <c r="M76" s="21">
        <f t="shared" si="21"/>
        <v>9</v>
      </c>
      <c r="N76" s="21">
        <f t="shared" si="21"/>
        <v>10</v>
      </c>
    </row>
    <row r="77" spans="2:14">
      <c r="B77" s="16" t="str">
        <f>"Valor Presente del "&amp;B72</f>
        <v>Valor Presente del Flujo de Caja del Proyecto Financiado ( FCAcc)</v>
      </c>
      <c r="D77" s="73">
        <f t="shared" ref="D77:N77" si="22">PV($D60,D76,,-D72)</f>
        <v>-2509415.999866738</v>
      </c>
      <c r="E77" s="73">
        <f t="shared" si="22"/>
        <v>441930.43689227098</v>
      </c>
      <c r="F77" s="73">
        <f t="shared" si="22"/>
        <v>184102.6144718336</v>
      </c>
      <c r="G77" s="73">
        <f t="shared" si="22"/>
        <v>310267.89726402861</v>
      </c>
      <c r="H77" s="73">
        <f t="shared" si="22"/>
        <v>246410.99835038514</v>
      </c>
      <c r="I77" s="73">
        <f t="shared" si="22"/>
        <v>250323.79307279596</v>
      </c>
      <c r="J77" s="73">
        <f t="shared" si="22"/>
        <v>318220.40312954364</v>
      </c>
      <c r="K77" s="73">
        <f t="shared" si="22"/>
        <v>273774.86354283901</v>
      </c>
      <c r="L77" s="73">
        <f t="shared" si="22"/>
        <v>211580.35279506256</v>
      </c>
      <c r="M77" s="73">
        <f t="shared" si="22"/>
        <v>196099.85967136919</v>
      </c>
      <c r="N77" s="73">
        <f t="shared" si="22"/>
        <v>178545.18442030594</v>
      </c>
    </row>
    <row r="78" spans="2:14">
      <c r="B78" s="16" t="str">
        <f>"Acumulado "&amp;B77</f>
        <v>Acumulado Valor Presente del Flujo de Caja del Proyecto Financiado ( FCAcc)</v>
      </c>
      <c r="D78" s="73">
        <f t="shared" ref="D78:N78" si="23">C78+D77</f>
        <v>-2509415.999866738</v>
      </c>
      <c r="E78" s="73">
        <f t="shared" si="23"/>
        <v>-2067485.5629744669</v>
      </c>
      <c r="F78" s="73">
        <f t="shared" si="23"/>
        <v>-1883382.9485026333</v>
      </c>
      <c r="G78" s="73">
        <f t="shared" si="23"/>
        <v>-1573115.0512386046</v>
      </c>
      <c r="H78" s="73">
        <f t="shared" si="23"/>
        <v>-1326704.0528882195</v>
      </c>
      <c r="I78" s="73">
        <f t="shared" si="23"/>
        <v>-1076380.2598154235</v>
      </c>
      <c r="J78" s="73">
        <f t="shared" si="23"/>
        <v>-758159.85668587987</v>
      </c>
      <c r="K78" s="73">
        <f t="shared" si="23"/>
        <v>-484384.99314304086</v>
      </c>
      <c r="L78" s="73">
        <f t="shared" si="23"/>
        <v>-272804.64034797833</v>
      </c>
      <c r="M78" s="73">
        <f t="shared" si="23"/>
        <v>-76704.780676609138</v>
      </c>
      <c r="N78" s="73">
        <f t="shared" si="23"/>
        <v>101840.40374369681</v>
      </c>
    </row>
    <row r="79" spans="2:14">
      <c r="B79" s="16" t="str">
        <f>B76</f>
        <v>Periodo de Recuperación de la Inversión Descontado  FCAcc (PRID)</v>
      </c>
      <c r="E79" s="122" t="str">
        <f t="shared" ref="E79:N79" si="24">IF(AND(D78&lt;0,E78&gt;0),D$34+ABS(D78/E77)," ")</f>
        <v xml:space="preserve"> </v>
      </c>
      <c r="F79" s="122" t="str">
        <f t="shared" si="24"/>
        <v xml:space="preserve"> </v>
      </c>
      <c r="G79" s="122" t="str">
        <f t="shared" si="24"/>
        <v xml:space="preserve"> </v>
      </c>
      <c r="H79" s="122" t="str">
        <f t="shared" si="24"/>
        <v xml:space="preserve"> </v>
      </c>
      <c r="I79" s="122" t="str">
        <f t="shared" si="24"/>
        <v xml:space="preserve"> </v>
      </c>
      <c r="J79" s="122" t="str">
        <f t="shared" si="24"/>
        <v xml:space="preserve"> </v>
      </c>
      <c r="K79" s="122" t="str">
        <f t="shared" si="24"/>
        <v xml:space="preserve"> </v>
      </c>
      <c r="L79" s="122" t="str">
        <f t="shared" si="24"/>
        <v xml:space="preserve"> </v>
      </c>
      <c r="M79" s="122" t="str">
        <f t="shared" si="24"/>
        <v xml:space="preserve"> </v>
      </c>
      <c r="N79" s="122">
        <f t="shared" si="24"/>
        <v>9.4296099103745163</v>
      </c>
    </row>
    <row r="81" spans="2:14">
      <c r="B81" s="126" t="s">
        <v>196</v>
      </c>
      <c r="C81" s="126"/>
    </row>
    <row r="82" spans="2:14">
      <c r="B82" s="16" t="str">
        <f>B23</f>
        <v>Costo de Capital Promedio Ponderado (CCPP)</v>
      </c>
      <c r="D82" s="102">
        <f>D23</f>
        <v>0.16743148830958393</v>
      </c>
    </row>
    <row r="83" spans="2:14">
      <c r="B83" s="16" t="str">
        <f>B21</f>
        <v>Flujo de Caja del Proyecto Puro (FCL)</v>
      </c>
      <c r="D83" s="16">
        <f t="shared" ref="D83:N83" si="25">D21</f>
        <v>-4182359.9997778968</v>
      </c>
      <c r="E83" s="16">
        <f t="shared" si="25"/>
        <v>1050185.7822076529</v>
      </c>
      <c r="F83" s="16">
        <f t="shared" si="25"/>
        <v>714798.61949020415</v>
      </c>
      <c r="G83" s="16">
        <f t="shared" si="25"/>
        <v>940036.40392894798</v>
      </c>
      <c r="H83" s="16">
        <f t="shared" si="25"/>
        <v>882267.90119942627</v>
      </c>
      <c r="I83" s="16">
        <f t="shared" si="25"/>
        <v>956358.53372549359</v>
      </c>
      <c r="J83" s="16">
        <f t="shared" si="25"/>
        <v>897263.38090924057</v>
      </c>
      <c r="K83" s="16">
        <f t="shared" si="25"/>
        <v>917524.09980315599</v>
      </c>
      <c r="L83" s="16">
        <f t="shared" si="25"/>
        <v>842813.01422470342</v>
      </c>
      <c r="M83" s="16">
        <f t="shared" si="25"/>
        <v>928464.20710437035</v>
      </c>
      <c r="N83" s="16">
        <f t="shared" si="25"/>
        <v>1004773.1275599082</v>
      </c>
    </row>
    <row r="85" spans="2:14">
      <c r="D85" s="21">
        <f t="shared" ref="D85:N85" si="26">D$7</f>
        <v>0</v>
      </c>
      <c r="E85" s="21">
        <f t="shared" si="26"/>
        <v>1</v>
      </c>
      <c r="F85" s="21">
        <f t="shared" si="26"/>
        <v>2</v>
      </c>
      <c r="G85" s="21">
        <f t="shared" si="26"/>
        <v>3</v>
      </c>
      <c r="H85" s="21">
        <f t="shared" si="26"/>
        <v>4</v>
      </c>
      <c r="I85" s="21">
        <f t="shared" si="26"/>
        <v>5</v>
      </c>
      <c r="J85" s="21">
        <f t="shared" si="26"/>
        <v>6</v>
      </c>
      <c r="K85" s="21">
        <f t="shared" si="26"/>
        <v>7</v>
      </c>
      <c r="L85" s="21">
        <f t="shared" si="26"/>
        <v>8</v>
      </c>
      <c r="M85" s="21">
        <f t="shared" si="26"/>
        <v>9</v>
      </c>
      <c r="N85" s="21">
        <f t="shared" si="26"/>
        <v>10</v>
      </c>
    </row>
    <row r="86" spans="2:14">
      <c r="B86" s="16" t="s">
        <v>197</v>
      </c>
    </row>
    <row r="87" spans="2:14">
      <c r="B87" s="16" t="s">
        <v>198</v>
      </c>
    </row>
    <row r="88" spans="2:14">
      <c r="B88" s="16" t="s">
        <v>199</v>
      </c>
    </row>
    <row r="89" spans="2:14">
      <c r="B89" s="16" t="s">
        <v>200</v>
      </c>
    </row>
    <row r="91" spans="2:14">
      <c r="B91" s="127" t="s">
        <v>201</v>
      </c>
      <c r="C91" s="127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</row>
    <row r="93" spans="2:14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5" spans="2:14">
      <c r="B95" s="8" t="str">
        <f>Comercial!D$2</f>
        <v>Solución Empresa ABC SAS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2:14">
      <c r="B96" s="8" t="s">
        <v>202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2:14">
      <c r="B97" s="7" t="str">
        <f>"Valores en "&amp;Ppto!D$3</f>
        <v>Valores en Miles de pesos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9" spans="2:14">
      <c r="D99" s="21">
        <f t="shared" ref="D99:N99" si="27">D$7</f>
        <v>0</v>
      </c>
      <c r="E99" s="21">
        <f t="shared" si="27"/>
        <v>1</v>
      </c>
      <c r="F99" s="21">
        <f t="shared" si="27"/>
        <v>2</v>
      </c>
      <c r="G99" s="21">
        <f t="shared" si="27"/>
        <v>3</v>
      </c>
      <c r="H99" s="21">
        <f t="shared" si="27"/>
        <v>4</v>
      </c>
      <c r="I99" s="21">
        <f t="shared" si="27"/>
        <v>5</v>
      </c>
      <c r="J99" s="21">
        <f t="shared" si="27"/>
        <v>6</v>
      </c>
      <c r="K99" s="21">
        <f t="shared" si="27"/>
        <v>7</v>
      </c>
      <c r="L99" s="21">
        <f t="shared" si="27"/>
        <v>8</v>
      </c>
      <c r="M99" s="21">
        <f t="shared" si="27"/>
        <v>9</v>
      </c>
      <c r="N99" s="21">
        <f t="shared" si="27"/>
        <v>10</v>
      </c>
    </row>
    <row r="100" spans="2:14">
      <c r="D100" s="21">
        <f t="shared" ref="D100:N100" si="28">D$8</f>
        <v>2023</v>
      </c>
      <c r="E100" s="21">
        <f t="shared" si="28"/>
        <v>2024</v>
      </c>
      <c r="F100" s="21">
        <f t="shared" si="28"/>
        <v>2025</v>
      </c>
      <c r="G100" s="21">
        <f t="shared" si="28"/>
        <v>2026</v>
      </c>
      <c r="H100" s="21">
        <f t="shared" si="28"/>
        <v>2027</v>
      </c>
      <c r="I100" s="21">
        <f t="shared" si="28"/>
        <v>2028</v>
      </c>
      <c r="J100" s="21">
        <f t="shared" si="28"/>
        <v>2029</v>
      </c>
      <c r="K100" s="21">
        <f t="shared" si="28"/>
        <v>2030</v>
      </c>
      <c r="L100" s="21">
        <f t="shared" si="28"/>
        <v>2031</v>
      </c>
      <c r="M100" s="21">
        <f t="shared" si="28"/>
        <v>2032</v>
      </c>
      <c r="N100" s="21">
        <f t="shared" si="28"/>
        <v>2033</v>
      </c>
    </row>
    <row r="101" spans="2:14">
      <c r="B101" s="16" t="str">
        <f>B16</f>
        <v>Utilidad neta Operativa después de Impuestos (UNODI)</v>
      </c>
      <c r="D101" s="73">
        <f t="shared" ref="D101:N101" si="29">D16</f>
        <v>-26916.178216392407</v>
      </c>
      <c r="E101" s="73">
        <f t="shared" si="29"/>
        <v>535116.94174128445</v>
      </c>
      <c r="F101" s="73">
        <f t="shared" si="29"/>
        <v>528934.44270183612</v>
      </c>
      <c r="G101" s="73">
        <f t="shared" si="29"/>
        <v>526273.55805729888</v>
      </c>
      <c r="H101" s="73">
        <f t="shared" si="29"/>
        <v>479557.3130487327</v>
      </c>
      <c r="I101" s="73">
        <f t="shared" si="29"/>
        <v>513200.85034726444</v>
      </c>
      <c r="J101" s="73">
        <f t="shared" si="29"/>
        <v>502308.91083851637</v>
      </c>
      <c r="K101" s="73">
        <f t="shared" si="29"/>
        <v>499125.63454338245</v>
      </c>
      <c r="L101" s="73">
        <f t="shared" si="29"/>
        <v>442573.19304427737</v>
      </c>
      <c r="M101" s="73">
        <f t="shared" si="29"/>
        <v>483021.65438593598</v>
      </c>
      <c r="N101" s="73">
        <f t="shared" si="29"/>
        <v>468928.7498830696</v>
      </c>
    </row>
    <row r="102" spans="2:14">
      <c r="B102" s="16" t="s">
        <v>203</v>
      </c>
      <c r="D102" s="73">
        <f>EEFFs!C99</f>
        <v>0</v>
      </c>
      <c r="E102" s="73">
        <f>EEFFs!D99</f>
        <v>4155443.8215615042</v>
      </c>
      <c r="F102" s="73">
        <f>EEFFs!E99</f>
        <v>3640374.9810951361</v>
      </c>
      <c r="G102" s="73">
        <f>EEFFs!F99</f>
        <v>3454510.8043067679</v>
      </c>
      <c r="H102" s="73">
        <f>EEFFs!G99</f>
        <v>3040747.9584351191</v>
      </c>
      <c r="I102" s="73">
        <f>EEFFs!H99</f>
        <v>2638037.3702844251</v>
      </c>
      <c r="J102" s="73">
        <f>EEFFs!I99</f>
        <v>2194879.6869061962</v>
      </c>
      <c r="K102" s="73">
        <f>EEFFs!J99</f>
        <v>1799925.2168354718</v>
      </c>
      <c r="L102" s="73">
        <f>EEFFs!K99</f>
        <v>1381526.7515756986</v>
      </c>
      <c r="M102" s="73">
        <f>EEFFs!L99</f>
        <v>981286.93039527279</v>
      </c>
      <c r="N102" s="73">
        <f>EEFFs!M99</f>
        <v>535844.37767683854</v>
      </c>
    </row>
    <row r="103" spans="2:14">
      <c r="B103" s="94" t="s">
        <v>204</v>
      </c>
      <c r="C103" s="94"/>
      <c r="D103" s="128">
        <f t="shared" ref="D103:N103" si="30">IFERROR(D101/D102,0)</f>
        <v>0</v>
      </c>
      <c r="E103" s="128">
        <f t="shared" si="30"/>
        <v>0.12877491905069285</v>
      </c>
      <c r="F103" s="128">
        <f t="shared" si="30"/>
        <v>0.14529669208492266</v>
      </c>
      <c r="G103" s="128">
        <f t="shared" si="30"/>
        <v>0.15234387381309944</v>
      </c>
      <c r="H103" s="128">
        <f t="shared" si="30"/>
        <v>0.15771031325316767</v>
      </c>
      <c r="I103" s="128">
        <f t="shared" si="30"/>
        <v>0.19453888566102182</v>
      </c>
      <c r="J103" s="128">
        <f t="shared" si="30"/>
        <v>0.22885487247209821</v>
      </c>
      <c r="K103" s="128">
        <f t="shared" si="30"/>
        <v>0.27730354009980335</v>
      </c>
      <c r="L103" s="128">
        <f t="shared" si="30"/>
        <v>0.32035079490100432</v>
      </c>
      <c r="M103" s="128">
        <f t="shared" si="30"/>
        <v>0.49223284181658239</v>
      </c>
      <c r="N103" s="128">
        <f t="shared" si="30"/>
        <v>0.87512115348884933</v>
      </c>
    </row>
    <row r="104" spans="2:14"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</row>
    <row r="105" spans="2:14">
      <c r="B105" s="129" t="s">
        <v>205</v>
      </c>
      <c r="C105" s="129"/>
      <c r="D105" s="73">
        <f t="shared" ref="D105:N105" si="31">D101-D102*$D109</f>
        <v>-26916.178216392407</v>
      </c>
      <c r="E105" s="73">
        <f t="shared" si="31"/>
        <v>-160635.20188962331</v>
      </c>
      <c r="F105" s="73">
        <f t="shared" si="31"/>
        <v>-80578.958387895953</v>
      </c>
      <c r="G105" s="73">
        <f t="shared" si="31"/>
        <v>-52120.327289321111</v>
      </c>
      <c r="H105" s="73">
        <f t="shared" si="31"/>
        <v>-29559.643206388166</v>
      </c>
      <c r="I105" s="73">
        <f t="shared" si="31"/>
        <v>71510.327224242152</v>
      </c>
      <c r="J105" s="73">
        <f t="shared" si="31"/>
        <v>134816.93819933833</v>
      </c>
      <c r="K105" s="73">
        <f t="shared" si="31"/>
        <v>197761.47664266883</v>
      </c>
      <c r="L105" s="73">
        <f t="shared" si="31"/>
        <v>211262.11288845332</v>
      </c>
      <c r="M105" s="73">
        <f t="shared" si="31"/>
        <v>318723.32317111234</v>
      </c>
      <c r="N105" s="73">
        <f t="shared" si="31"/>
        <v>379211.52822631376</v>
      </c>
    </row>
    <row r="107" spans="2:14">
      <c r="B107" s="129" t="s">
        <v>206</v>
      </c>
      <c r="C107" s="129"/>
      <c r="D107" s="73">
        <f t="shared" ref="D107:N107" si="32">(D103-$D109)*D102</f>
        <v>0</v>
      </c>
      <c r="E107" s="73">
        <f t="shared" si="32"/>
        <v>-160635.20188962331</v>
      </c>
      <c r="F107" s="73">
        <f t="shared" si="32"/>
        <v>-80578.958387895982</v>
      </c>
      <c r="G107" s="73">
        <f t="shared" si="32"/>
        <v>-52120.327289321089</v>
      </c>
      <c r="H107" s="73">
        <f t="shared" si="32"/>
        <v>-29559.643206388144</v>
      </c>
      <c r="I107" s="73">
        <f t="shared" si="32"/>
        <v>71510.327224242181</v>
      </c>
      <c r="J107" s="73">
        <f t="shared" si="32"/>
        <v>134816.93819933836</v>
      </c>
      <c r="K107" s="73">
        <f t="shared" si="32"/>
        <v>197761.47664266886</v>
      </c>
      <c r="L107" s="73">
        <f t="shared" si="32"/>
        <v>211262.11288845332</v>
      </c>
      <c r="M107" s="73">
        <f t="shared" si="32"/>
        <v>318723.3231711124</v>
      </c>
      <c r="N107" s="73">
        <f t="shared" si="32"/>
        <v>379211.52822631376</v>
      </c>
    </row>
    <row r="109" spans="2:14">
      <c r="B109" s="62" t="str">
        <f>B23</f>
        <v>Costo de Capital Promedio Ponderado (CCPP)</v>
      </c>
      <c r="C109" s="62"/>
      <c r="D109" s="130">
        <f>D23</f>
        <v>0.16743148830958393</v>
      </c>
    </row>
    <row r="111" spans="2:14">
      <c r="B111" s="62" t="s">
        <v>207</v>
      </c>
      <c r="C111" s="62"/>
      <c r="D111" s="73">
        <f>NPV(D109,E105:N105)+D105</f>
        <v>101840.40374369088</v>
      </c>
    </row>
  </sheetData>
  <mergeCells count="9">
    <mergeCell ref="B48:N48"/>
    <mergeCell ref="B95:N95"/>
    <mergeCell ref="B96:N96"/>
    <mergeCell ref="B97:N97"/>
    <mergeCell ref="B3:N3"/>
    <mergeCell ref="B4:N4"/>
    <mergeCell ref="B5:N5"/>
    <mergeCell ref="B46:N46"/>
    <mergeCell ref="B47:N47"/>
  </mergeCells>
  <conditionalFormatting sqref="D103:N103">
    <cfRule type="iconSet" priority="2">
      <iconSet>
        <cfvo type="percent" val="0"/>
        <cfvo type="percent" val="33"/>
        <cfvo type="percent" val="67"/>
      </iconSet>
    </cfRule>
  </conditionalFormatting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36"/>
  <sheetViews>
    <sheetView zoomScaleNormal="100" zoomScalePageLayoutView="60" workbookViewId="0"/>
  </sheetViews>
  <sheetFormatPr baseColWidth="10" defaultColWidth="10.7109375" defaultRowHeight="15"/>
  <cols>
    <col min="1" max="1" width="3.7109375" customWidth="1"/>
    <col min="2" max="2" width="27.28515625" customWidth="1"/>
    <col min="3" max="5" width="5.42578125" customWidth="1"/>
    <col min="6" max="6" width="4.5703125" customWidth="1"/>
    <col min="7" max="7" width="6.85546875" customWidth="1"/>
    <col min="8" max="8" width="7.140625" customWidth="1"/>
    <col min="9" max="9" width="6.85546875" customWidth="1"/>
    <col min="10" max="10" width="3.28515625" customWidth="1"/>
    <col min="11" max="11" width="12.5703125" customWidth="1"/>
    <col min="12" max="12" width="18.42578125" customWidth="1"/>
    <col min="13" max="13" width="3.28515625" customWidth="1"/>
    <col min="14" max="14" width="6.140625" customWidth="1"/>
    <col min="15" max="15" width="1.42578125" customWidth="1"/>
    <col min="16" max="16" width="6.140625" customWidth="1"/>
    <col min="17" max="17" width="1.140625" customWidth="1"/>
    <col min="18" max="18" width="5" customWidth="1"/>
    <col min="19" max="19" width="1.140625" customWidth="1"/>
    <col min="20" max="20" width="4" customWidth="1"/>
    <col min="21" max="21" width="1.140625" customWidth="1"/>
    <col min="22" max="22" width="4.85546875" customWidth="1"/>
  </cols>
  <sheetData>
    <row r="2" spans="2:22" ht="23.25">
      <c r="B2" s="6" t="str">
        <f>Comercial!D2</f>
        <v>Solución Empresa ABC SAS</v>
      </c>
      <c r="C2" s="6"/>
      <c r="D2" s="6"/>
      <c r="E2" s="6"/>
    </row>
    <row r="3" spans="2:22" hidden="1"/>
    <row r="4" spans="2:22" ht="18">
      <c r="B4" s="5" t="s">
        <v>208</v>
      </c>
      <c r="C4" s="5"/>
      <c r="D4" s="5"/>
      <c r="E4" s="5"/>
      <c r="F4" s="131"/>
      <c r="G4" s="4" t="s">
        <v>209</v>
      </c>
      <c r="H4" s="4"/>
      <c r="I4" s="4"/>
      <c r="J4" s="131"/>
      <c r="K4" s="132" t="s">
        <v>210</v>
      </c>
      <c r="L4" s="133" t="s">
        <v>211</v>
      </c>
      <c r="M4" s="131"/>
      <c r="N4" s="134"/>
      <c r="O4" s="134"/>
      <c r="P4" s="134"/>
      <c r="Q4" s="134"/>
      <c r="R4" s="134"/>
      <c r="S4" s="134"/>
      <c r="T4" s="134"/>
      <c r="U4" s="134"/>
      <c r="V4" s="134"/>
    </row>
    <row r="5" spans="2:22" ht="18">
      <c r="B5" s="135"/>
      <c r="C5" s="136" t="s">
        <v>212</v>
      </c>
      <c r="D5" s="136" t="s">
        <v>213</v>
      </c>
      <c r="E5" s="136" t="s">
        <v>214</v>
      </c>
      <c r="F5" s="135"/>
      <c r="G5" s="137" t="s">
        <v>215</v>
      </c>
      <c r="H5" s="138" t="s">
        <v>216</v>
      </c>
      <c r="I5" s="139" t="s">
        <v>217</v>
      </c>
      <c r="J5" s="135"/>
      <c r="K5" s="140" t="s">
        <v>218</v>
      </c>
      <c r="L5" s="141" t="s">
        <v>219</v>
      </c>
      <c r="M5" s="135"/>
      <c r="N5" s="142" t="s">
        <v>220</v>
      </c>
      <c r="O5" s="142" t="s">
        <v>221</v>
      </c>
      <c r="P5" s="142" t="s">
        <v>222</v>
      </c>
      <c r="Q5" s="142" t="s">
        <v>223</v>
      </c>
      <c r="R5" s="142" t="s">
        <v>224</v>
      </c>
      <c r="S5" s="142" t="s">
        <v>223</v>
      </c>
      <c r="T5" s="142" t="s">
        <v>222</v>
      </c>
      <c r="U5" s="143" t="s">
        <v>225</v>
      </c>
      <c r="V5" s="142" t="s">
        <v>224</v>
      </c>
    </row>
    <row r="6" spans="2:22" ht="15.75">
      <c r="B6" s="144" t="s">
        <v>82</v>
      </c>
      <c r="C6" s="136"/>
      <c r="D6" s="136"/>
      <c r="E6" s="136"/>
      <c r="F6" s="135"/>
      <c r="G6" s="145">
        <f>Evaluación!D27</f>
        <v>101840.40374368941</v>
      </c>
      <c r="H6" s="146">
        <f>Evaluación!D64</f>
        <v>101840.40374369686</v>
      </c>
      <c r="I6" s="147">
        <f>Evaluación!D111</f>
        <v>101840.40374369088</v>
      </c>
      <c r="J6" s="135"/>
      <c r="K6" s="140" t="s">
        <v>226</v>
      </c>
      <c r="L6" s="141" t="s">
        <v>227</v>
      </c>
      <c r="M6" s="135"/>
      <c r="N6" s="142" t="s">
        <v>228</v>
      </c>
      <c r="O6" s="142" t="s">
        <v>221</v>
      </c>
      <c r="P6" s="142" t="s">
        <v>229</v>
      </c>
      <c r="Q6" s="142" t="s">
        <v>223</v>
      </c>
      <c r="R6" s="142" t="s">
        <v>224</v>
      </c>
      <c r="S6" s="142" t="s">
        <v>223</v>
      </c>
      <c r="T6" s="142" t="s">
        <v>230</v>
      </c>
      <c r="U6" s="143" t="s">
        <v>225</v>
      </c>
      <c r="V6" s="143" t="s">
        <v>224</v>
      </c>
    </row>
    <row r="7" spans="2:22" ht="15.75">
      <c r="B7" s="131" t="s">
        <v>231</v>
      </c>
      <c r="C7" s="148">
        <f>Retornos!E124</f>
        <v>6.148821514896885E-2</v>
      </c>
      <c r="D7" s="149">
        <f>C7+C28+C7*C28</f>
        <v>7.5946508194096735E-2</v>
      </c>
      <c r="E7" s="149">
        <f>(D7-D26)/(1+D26)</f>
        <v>2.40902993973405E-2</v>
      </c>
      <c r="F7" s="150">
        <f>(C7-E27)/(1+E27)</f>
        <v>2.40902993973405E-2</v>
      </c>
      <c r="G7" s="151">
        <f>H6-G6</f>
        <v>7.4505805969238281E-9</v>
      </c>
      <c r="H7" s="152">
        <f>I6-H6</f>
        <v>-5.9808371588587761E-9</v>
      </c>
      <c r="I7" s="153">
        <f>G6-I6</f>
        <v>-1.469743438065052E-9</v>
      </c>
      <c r="J7" s="131"/>
      <c r="K7" s="140" t="s">
        <v>232</v>
      </c>
      <c r="L7" s="141" t="s">
        <v>233</v>
      </c>
      <c r="M7" s="131"/>
      <c r="N7" s="154" t="s">
        <v>234</v>
      </c>
      <c r="O7" s="155" t="s">
        <v>221</v>
      </c>
      <c r="P7" s="154" t="s">
        <v>235</v>
      </c>
      <c r="Q7" s="154" t="s">
        <v>223</v>
      </c>
      <c r="R7" s="154">
        <v>0</v>
      </c>
      <c r="S7" s="154" t="s">
        <v>223</v>
      </c>
      <c r="T7" s="154" t="s">
        <v>235</v>
      </c>
      <c r="U7" s="154" t="s">
        <v>225</v>
      </c>
      <c r="V7" s="154" t="s">
        <v>224</v>
      </c>
    </row>
    <row r="8" spans="2:22">
      <c r="B8" s="131" t="s">
        <v>236</v>
      </c>
      <c r="C8" s="156">
        <f>EMBI!C4/10000</f>
        <v>2.6546414774611917E-2</v>
      </c>
      <c r="D8" s="149">
        <f>C8+C8*D$28</f>
        <v>2.6907997539857207E-2</v>
      </c>
      <c r="E8" s="149">
        <f>D8/(1+E$26)</f>
        <v>2.5611142419177061E-2</v>
      </c>
      <c r="F8" s="131"/>
      <c r="G8" s="131"/>
      <c r="H8" s="131"/>
      <c r="I8" s="131"/>
      <c r="J8" s="131"/>
      <c r="K8" s="140" t="s">
        <v>237</v>
      </c>
      <c r="L8" s="141" t="s">
        <v>238</v>
      </c>
      <c r="M8" s="131"/>
      <c r="N8" s="142"/>
      <c r="O8" s="142"/>
      <c r="P8" s="142"/>
      <c r="Q8" s="142"/>
      <c r="R8" s="142"/>
      <c r="S8" s="142"/>
      <c r="T8" s="142"/>
      <c r="U8" s="142"/>
      <c r="V8" s="142"/>
    </row>
    <row r="9" spans="2:22">
      <c r="B9" s="131" t="s">
        <v>239</v>
      </c>
      <c r="C9" s="156">
        <v>0.02</v>
      </c>
      <c r="D9" s="149">
        <f>C9+C9*D$28</f>
        <v>2.0272415516984308E-2</v>
      </c>
      <c r="E9" s="149">
        <f>D9/(1+E$26)</f>
        <v>1.9295368234561513E-2</v>
      </c>
      <c r="F9" s="131"/>
      <c r="G9" s="157"/>
      <c r="H9" s="157"/>
      <c r="I9" s="157"/>
      <c r="J9" s="131"/>
      <c r="K9" s="140" t="s">
        <v>240</v>
      </c>
      <c r="L9" s="141" t="s">
        <v>241</v>
      </c>
      <c r="M9" s="131"/>
      <c r="N9" s="142" t="s">
        <v>224</v>
      </c>
      <c r="O9" s="142" t="s">
        <v>221</v>
      </c>
      <c r="P9" s="142" t="s">
        <v>242</v>
      </c>
      <c r="Q9" s="142" t="s">
        <v>243</v>
      </c>
      <c r="R9" s="142" t="s">
        <v>244</v>
      </c>
      <c r="S9" s="142" t="s">
        <v>245</v>
      </c>
      <c r="T9" s="142" t="s">
        <v>246</v>
      </c>
      <c r="U9" s="142" t="s">
        <v>223</v>
      </c>
      <c r="V9" s="142" t="s">
        <v>244</v>
      </c>
    </row>
    <row r="10" spans="2:22">
      <c r="B10" s="131" t="s">
        <v>247</v>
      </c>
      <c r="C10" s="158">
        <f>Retornos!I124</f>
        <v>5.0004998028900571E-2</v>
      </c>
      <c r="D10" s="149">
        <f>C10+C10*D$28</f>
        <v>5.0686104898392689E-2</v>
      </c>
      <c r="E10" s="149">
        <f>D10/(1+E$26)</f>
        <v>4.8243242526807964E-2</v>
      </c>
      <c r="F10" s="131"/>
      <c r="G10" s="157"/>
      <c r="H10" s="157"/>
      <c r="I10" s="157"/>
      <c r="J10" s="131"/>
      <c r="K10" s="140" t="s">
        <v>248</v>
      </c>
      <c r="L10" s="141" t="s">
        <v>249</v>
      </c>
      <c r="M10" s="131"/>
      <c r="N10" s="142"/>
      <c r="O10" s="142"/>
      <c r="P10" s="142"/>
      <c r="Q10" s="142"/>
      <c r="R10" s="142"/>
      <c r="S10" s="142"/>
      <c r="T10" s="142"/>
      <c r="U10" s="142"/>
      <c r="V10" s="142"/>
    </row>
    <row r="11" spans="2:22">
      <c r="B11" s="131" t="s">
        <v>250</v>
      </c>
      <c r="C11" s="159">
        <f>C23*(1+(1-C25)*Deuda/Capital)</f>
        <v>1.291534358366812</v>
      </c>
      <c r="D11" s="159">
        <f>D23*(1+(1-D25)*Deuda/Capital)</f>
        <v>1.291534358366812</v>
      </c>
      <c r="E11" s="159">
        <f>E23*(1+(1-E25)*Deuda/Capital)</f>
        <v>1.291534358366812</v>
      </c>
      <c r="F11" s="131"/>
      <c r="G11" s="157"/>
      <c r="H11" s="157"/>
      <c r="I11" s="157"/>
      <c r="J11" s="131"/>
      <c r="K11" s="160" t="s">
        <v>251</v>
      </c>
      <c r="L11" s="161" t="s">
        <v>252</v>
      </c>
      <c r="M11" s="131"/>
      <c r="N11" s="142" t="s">
        <v>253</v>
      </c>
      <c r="O11" s="142" t="s">
        <v>254</v>
      </c>
      <c r="P11" s="142" t="s">
        <v>255</v>
      </c>
      <c r="Q11" s="142" t="s">
        <v>225</v>
      </c>
      <c r="R11" s="142" t="s">
        <v>256</v>
      </c>
      <c r="S11" s="142"/>
      <c r="T11" s="142"/>
      <c r="U11" s="142"/>
      <c r="V11" s="142"/>
    </row>
    <row r="12" spans="2:22" ht="15.75">
      <c r="B12" s="162" t="s">
        <v>257</v>
      </c>
      <c r="C12" s="163">
        <f>C7+C8+C9+C10*C11</f>
        <v>0.17261780296797058</v>
      </c>
      <c r="D12" s="163">
        <f>CHOOSE(C30,D7+D8+D9+D10*D11,(D17-D15*D21)/D20)</f>
        <v>0.18858976721899678</v>
      </c>
      <c r="E12" s="163">
        <f>E7+E8+E9+E10*E11</f>
        <v>0.13130461533347448</v>
      </c>
      <c r="F12" s="131"/>
      <c r="G12" s="164"/>
      <c r="H12" s="164"/>
      <c r="I12" s="164"/>
      <c r="J12" s="131"/>
      <c r="K12" s="165"/>
      <c r="L12" s="166"/>
      <c r="M12" s="131"/>
      <c r="N12" s="142" t="s">
        <v>258</v>
      </c>
      <c r="O12" s="142" t="s">
        <v>254</v>
      </c>
      <c r="P12" s="142" t="s">
        <v>259</v>
      </c>
      <c r="Q12" s="142" t="s">
        <v>225</v>
      </c>
      <c r="R12" s="142" t="s">
        <v>256</v>
      </c>
      <c r="S12" s="142"/>
      <c r="T12" s="142"/>
      <c r="U12" s="142"/>
      <c r="V12" s="142"/>
    </row>
    <row r="13" spans="2:22" ht="15.75">
      <c r="B13" s="167" t="s">
        <v>83</v>
      </c>
      <c r="C13" s="131"/>
      <c r="D13" s="131"/>
      <c r="E13" s="131"/>
      <c r="F13" s="131"/>
      <c r="G13" s="164"/>
      <c r="H13" s="164"/>
      <c r="I13" s="164"/>
      <c r="J13" s="131"/>
      <c r="K13" s="168" t="s">
        <v>260</v>
      </c>
      <c r="L13" s="165"/>
      <c r="M13" s="131"/>
      <c r="N13" s="142" t="s">
        <v>261</v>
      </c>
      <c r="O13" s="142" t="s">
        <v>254</v>
      </c>
      <c r="P13" s="142" t="s">
        <v>262</v>
      </c>
      <c r="Q13" s="142" t="s">
        <v>225</v>
      </c>
      <c r="R13" s="142" t="s">
        <v>263</v>
      </c>
      <c r="S13" s="142"/>
      <c r="T13" s="142"/>
      <c r="U13" s="142"/>
      <c r="V13" s="142"/>
    </row>
    <row r="14" spans="2:22" ht="15.75">
      <c r="B14" s="131" t="s">
        <v>264</v>
      </c>
      <c r="C14" s="169">
        <f>(D14-C28)/(1+C28)</f>
        <v>0.12520275312008972</v>
      </c>
      <c r="D14" s="170">
        <f>AVERAGE(Macro!C52:M52)</f>
        <v>0.14052888760525858</v>
      </c>
      <c r="E14" s="157">
        <f>(D14-D26)/(1+D26)</f>
        <v>8.5560072999726969E-2</v>
      </c>
      <c r="F14" s="131"/>
      <c r="G14" s="171"/>
      <c r="H14" s="172"/>
      <c r="I14" s="131"/>
      <c r="J14" s="131"/>
      <c r="K14" s="173" t="s">
        <v>265</v>
      </c>
      <c r="L14" s="165"/>
      <c r="M14" s="131"/>
      <c r="N14" s="134"/>
      <c r="O14" s="134"/>
      <c r="P14" s="134"/>
      <c r="Q14" s="134"/>
      <c r="R14" s="134"/>
      <c r="S14" s="134"/>
      <c r="T14" s="134"/>
      <c r="U14" s="134"/>
      <c r="V14" s="134"/>
    </row>
    <row r="15" spans="2:22" ht="15.75">
      <c r="B15" s="174" t="s">
        <v>266</v>
      </c>
      <c r="C15" s="175">
        <f>C14*(1-C25)</f>
        <v>8.1381789528058301E-2</v>
      </c>
      <c r="D15" s="176">
        <f>D14*(1-D25)</f>
        <v>9.1343776943418067E-2</v>
      </c>
      <c r="E15" s="175">
        <f>E14*(1-E25)</f>
        <v>5.5614047449822519E-2</v>
      </c>
      <c r="F15" s="131"/>
      <c r="G15" s="131"/>
      <c r="H15" s="131"/>
      <c r="I15" s="131"/>
      <c r="J15" s="131"/>
      <c r="K15" s="177" t="s">
        <v>267</v>
      </c>
      <c r="L15" s="165"/>
      <c r="M15" s="131"/>
      <c r="N15" s="134"/>
      <c r="O15" s="134"/>
      <c r="P15" s="134"/>
      <c r="Q15" s="134"/>
      <c r="R15" s="134"/>
      <c r="S15" s="134"/>
      <c r="T15" s="134"/>
      <c r="U15" s="134"/>
      <c r="V15" s="134"/>
    </row>
    <row r="16" spans="2:22" ht="15.75" hidden="1">
      <c r="B16" s="131"/>
      <c r="C16" s="134"/>
      <c r="D16" s="134"/>
      <c r="E16" s="134"/>
      <c r="F16" s="131"/>
      <c r="G16" s="178"/>
      <c r="H16" s="131"/>
      <c r="I16" s="131"/>
      <c r="J16" s="131"/>
      <c r="K16" s="177" t="s">
        <v>268</v>
      </c>
      <c r="L16" s="165"/>
      <c r="M16" s="131"/>
      <c r="N16" s="134"/>
      <c r="O16" s="134"/>
      <c r="P16" s="134"/>
      <c r="Q16" s="134"/>
      <c r="R16" s="134"/>
      <c r="S16" s="134"/>
      <c r="T16" s="134"/>
      <c r="U16" s="134"/>
      <c r="V16" s="134"/>
    </row>
    <row r="17" spans="2:22" ht="15.75">
      <c r="B17" s="179" t="s">
        <v>269</v>
      </c>
      <c r="C17" s="180">
        <f>C12*Capital+C15*Deuda</f>
        <v>0.15276714369169414</v>
      </c>
      <c r="D17" s="180">
        <f>CHOOSE(C30,D12*Capital+D15*Deuda,C33)</f>
        <v>0.16743148830958393</v>
      </c>
      <c r="E17" s="180">
        <f>E12*Capital+E15*Deuda</f>
        <v>0.11483625358862695</v>
      </c>
      <c r="F17" s="131"/>
      <c r="G17" s="131"/>
      <c r="H17" s="131"/>
      <c r="I17" s="131"/>
      <c r="J17" s="131"/>
      <c r="K17" s="177" t="s">
        <v>270</v>
      </c>
      <c r="L17" s="165"/>
      <c r="M17" s="131"/>
      <c r="N17" s="134"/>
      <c r="O17" s="134"/>
      <c r="P17" s="134"/>
      <c r="Q17" s="134"/>
      <c r="R17" s="134"/>
      <c r="S17" s="134"/>
      <c r="T17" s="134"/>
      <c r="U17" s="134"/>
      <c r="V17" s="134"/>
    </row>
    <row r="18" spans="2:22" ht="15.75">
      <c r="B18" s="131"/>
      <c r="C18" s="131"/>
      <c r="D18" s="131"/>
      <c r="E18" s="131"/>
      <c r="F18" s="131"/>
      <c r="G18" s="164"/>
      <c r="H18" s="131"/>
      <c r="I18" s="131"/>
      <c r="J18" s="131"/>
      <c r="K18" s="181" t="s">
        <v>271</v>
      </c>
      <c r="L18" s="165"/>
      <c r="M18" s="131"/>
      <c r="N18" s="134"/>
      <c r="O18" s="134"/>
      <c r="P18" s="134"/>
      <c r="Q18" s="134"/>
      <c r="R18" s="134"/>
      <c r="S18" s="134"/>
      <c r="T18" s="134"/>
      <c r="U18" s="134"/>
      <c r="V18" s="134"/>
    </row>
    <row r="19" spans="2:22">
      <c r="B19" s="178" t="s">
        <v>272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4"/>
      <c r="O19" s="134"/>
      <c r="P19" s="134"/>
      <c r="Q19" s="134"/>
      <c r="R19" s="134"/>
      <c r="S19" s="134"/>
      <c r="T19" s="134"/>
      <c r="U19" s="134"/>
      <c r="V19" s="134"/>
    </row>
    <row r="20" spans="2:22">
      <c r="B20" s="131" t="s">
        <v>82</v>
      </c>
      <c r="C20" s="182">
        <v>0.78242517918266996</v>
      </c>
      <c r="D20" s="169">
        <f>Capital</f>
        <v>0.78242517918266996</v>
      </c>
      <c r="E20" s="169">
        <f>Capital</f>
        <v>0.78242517918266996</v>
      </c>
      <c r="F20" s="131"/>
      <c r="G20" s="131"/>
      <c r="H20" s="131"/>
      <c r="I20" s="131"/>
      <c r="J20" s="131"/>
      <c r="K20" s="131"/>
      <c r="L20" s="131"/>
      <c r="M20" s="131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2:22">
      <c r="B21" s="131" t="s">
        <v>83</v>
      </c>
      <c r="C21" s="157">
        <f>1-Capital</f>
        <v>0.21757482081733004</v>
      </c>
      <c r="D21" s="157">
        <f>Deuda</f>
        <v>0.21757482081733004</v>
      </c>
      <c r="E21" s="157">
        <f>Deuda</f>
        <v>0.21757482081733004</v>
      </c>
      <c r="F21" s="131"/>
      <c r="G21" s="131"/>
      <c r="H21" s="131"/>
      <c r="I21" s="131"/>
      <c r="J21" s="131"/>
      <c r="K21" s="131"/>
      <c r="L21" s="131"/>
      <c r="M21" s="131"/>
      <c r="N21" s="134"/>
      <c r="O21" s="134"/>
      <c r="P21" s="134"/>
      <c r="Q21" s="134"/>
      <c r="R21" s="134"/>
      <c r="S21" s="134"/>
      <c r="T21" s="134"/>
      <c r="U21" s="134"/>
      <c r="V21" s="134"/>
    </row>
    <row r="22" spans="2:22" hidden="1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4"/>
      <c r="O22" s="134"/>
      <c r="P22" s="134"/>
      <c r="Q22" s="134"/>
      <c r="R22" s="134"/>
      <c r="S22" s="134"/>
      <c r="T22" s="134"/>
      <c r="U22" s="134"/>
      <c r="V22" s="134"/>
    </row>
    <row r="23" spans="2:22">
      <c r="B23" s="131" t="s">
        <v>273</v>
      </c>
      <c r="C23" s="183">
        <f>Betas!I53</f>
        <v>1.09382508031499</v>
      </c>
      <c r="D23" s="159">
        <f>C23</f>
        <v>1.09382508031499</v>
      </c>
      <c r="E23" s="159">
        <f>D23</f>
        <v>1.09382508031499</v>
      </c>
      <c r="F23" s="131"/>
      <c r="G23" s="131"/>
      <c r="H23" s="131"/>
      <c r="I23" s="131"/>
      <c r="J23" s="131"/>
      <c r="K23" s="131"/>
      <c r="L23" s="131"/>
      <c r="M23" s="131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2:22" hidden="1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4"/>
      <c r="O24" s="134"/>
      <c r="P24" s="134"/>
      <c r="Q24" s="134"/>
      <c r="R24" s="134"/>
      <c r="S24" s="134"/>
      <c r="T24" s="134"/>
      <c r="U24" s="134"/>
      <c r="V24" s="134"/>
    </row>
    <row r="25" spans="2:22">
      <c r="B25" s="131" t="s">
        <v>274</v>
      </c>
      <c r="C25" s="148">
        <f>AVERAGE(EEFFs!D118:N118)</f>
        <v>0.35000000000000003</v>
      </c>
      <c r="D25" s="169">
        <f t="shared" ref="D25:E28" si="0">C25</f>
        <v>0.35000000000000003</v>
      </c>
      <c r="E25" s="169">
        <f t="shared" si="0"/>
        <v>0.35000000000000003</v>
      </c>
      <c r="F25" s="131"/>
      <c r="G25" s="131"/>
      <c r="H25" s="131"/>
      <c r="I25" s="131"/>
      <c r="J25" s="131"/>
      <c r="K25" s="131"/>
      <c r="L25" s="131"/>
      <c r="M25" s="131"/>
      <c r="N25" s="134"/>
      <c r="O25" s="134"/>
      <c r="P25" s="134"/>
      <c r="Q25" s="134"/>
      <c r="R25" s="134"/>
      <c r="S25" s="134"/>
      <c r="T25" s="134"/>
      <c r="U25" s="134"/>
      <c r="V25" s="134"/>
    </row>
    <row r="26" spans="2:22">
      <c r="B26" s="131" t="s">
        <v>275</v>
      </c>
      <c r="C26" s="184">
        <f>AVERAGE(Ppto!D12:N12)</f>
        <v>5.0636363636363632E-2</v>
      </c>
      <c r="D26" s="169">
        <f t="shared" si="0"/>
        <v>5.0636363636363632E-2</v>
      </c>
      <c r="E26" s="169">
        <f t="shared" si="0"/>
        <v>5.0636363636363632E-2</v>
      </c>
      <c r="F26" s="131"/>
      <c r="G26" s="131"/>
      <c r="H26" s="131"/>
      <c r="I26" s="131"/>
      <c r="J26" s="131"/>
      <c r="K26" s="131"/>
      <c r="L26" s="131"/>
      <c r="M26" s="131"/>
      <c r="N26" s="134"/>
      <c r="O26" s="134"/>
      <c r="P26" s="134"/>
      <c r="Q26" s="134"/>
      <c r="R26" s="134"/>
      <c r="S26" s="134"/>
      <c r="T26" s="134"/>
      <c r="U26" s="134"/>
      <c r="V26" s="134"/>
    </row>
    <row r="27" spans="2:22">
      <c r="B27" s="131" t="s">
        <v>276</v>
      </c>
      <c r="C27" s="158">
        <f>AVERAGE(Ppto!D14:N14)</f>
        <v>3.6518181818181832E-2</v>
      </c>
      <c r="D27" s="169">
        <f t="shared" si="0"/>
        <v>3.6518181818181832E-2</v>
      </c>
      <c r="E27" s="169">
        <f t="shared" si="0"/>
        <v>3.6518181818181832E-2</v>
      </c>
      <c r="F27" s="131"/>
      <c r="G27" s="131"/>
      <c r="H27" s="131"/>
      <c r="I27" s="131"/>
      <c r="J27" s="131"/>
      <c r="K27" s="131"/>
      <c r="L27" s="131"/>
      <c r="M27" s="131"/>
      <c r="N27" s="134"/>
      <c r="O27" s="134"/>
      <c r="P27" s="134"/>
      <c r="Q27" s="134"/>
      <c r="R27" s="134"/>
      <c r="S27" s="134"/>
      <c r="T27" s="134"/>
      <c r="U27" s="134"/>
      <c r="V27" s="134"/>
    </row>
    <row r="28" spans="2:22">
      <c r="B28" s="131" t="s">
        <v>277</v>
      </c>
      <c r="C28" s="169">
        <f>(C26-C27)/(1+C27)</f>
        <v>1.362077584921545E-2</v>
      </c>
      <c r="D28" s="169">
        <f t="shared" si="0"/>
        <v>1.362077584921545E-2</v>
      </c>
      <c r="E28" s="169">
        <f t="shared" si="0"/>
        <v>1.362077584921545E-2</v>
      </c>
      <c r="F28" s="131"/>
      <c r="G28" s="131"/>
      <c r="H28" s="131"/>
      <c r="I28" s="131"/>
      <c r="J28" s="131"/>
      <c r="K28" s="131"/>
      <c r="L28" s="131"/>
      <c r="M28" s="131"/>
      <c r="N28" s="134"/>
      <c r="O28" s="134"/>
      <c r="P28" s="134"/>
      <c r="Q28" s="134"/>
      <c r="R28" s="134"/>
      <c r="S28" s="134"/>
      <c r="T28" s="134"/>
      <c r="U28" s="134"/>
      <c r="V28" s="134"/>
    </row>
    <row r="29" spans="2:22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4"/>
      <c r="O29" s="134"/>
      <c r="P29" s="134"/>
      <c r="Q29" s="134"/>
      <c r="R29" s="134"/>
      <c r="S29" s="134"/>
      <c r="T29" s="134"/>
      <c r="U29" s="134"/>
      <c r="V29" s="134"/>
    </row>
    <row r="30" spans="2:22">
      <c r="B30" s="131"/>
      <c r="C30" s="134">
        <v>1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4"/>
      <c r="O30" s="134"/>
      <c r="P30" s="134"/>
      <c r="Q30" s="134"/>
      <c r="R30" s="134"/>
      <c r="S30" s="134"/>
      <c r="T30" s="134"/>
      <c r="U30" s="134"/>
      <c r="V30" s="134"/>
    </row>
    <row r="31" spans="2:22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4"/>
      <c r="O31" s="134"/>
      <c r="P31" s="134"/>
      <c r="Q31" s="134"/>
      <c r="R31" s="134"/>
      <c r="S31" s="134"/>
      <c r="T31" s="134"/>
      <c r="U31" s="134"/>
      <c r="V31" s="134"/>
    </row>
    <row r="32" spans="2:22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4"/>
      <c r="O32" s="134"/>
      <c r="P32" s="134"/>
      <c r="Q32" s="134"/>
      <c r="R32" s="134"/>
      <c r="S32" s="134"/>
      <c r="T32" s="134"/>
      <c r="U32" s="134"/>
      <c r="V32" s="134"/>
    </row>
    <row r="33" spans="2:22">
      <c r="B33" s="131" t="s">
        <v>278</v>
      </c>
      <c r="C33" s="185">
        <v>0.15</v>
      </c>
      <c r="D33" s="131"/>
      <c r="E33" s="131"/>
      <c r="F33" s="131"/>
      <c r="G33" s="131"/>
      <c r="H33" s="186"/>
      <c r="I33" s="186"/>
      <c r="J33" s="186"/>
      <c r="K33" s="131"/>
      <c r="L33" s="131"/>
      <c r="M33" s="131"/>
      <c r="N33" s="134"/>
      <c r="O33" s="134"/>
      <c r="P33" s="134"/>
      <c r="Q33" s="134"/>
      <c r="R33" s="134"/>
      <c r="S33" s="134"/>
      <c r="T33" s="134"/>
      <c r="U33" s="134"/>
      <c r="V33" s="134"/>
    </row>
    <row r="34" spans="2:22"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4"/>
      <c r="O34" s="134"/>
      <c r="P34" s="134"/>
      <c r="Q34" s="134"/>
      <c r="R34" s="134"/>
      <c r="S34" s="134"/>
      <c r="T34" s="134"/>
      <c r="U34" s="134"/>
      <c r="V34" s="134"/>
    </row>
    <row r="35" spans="2:22">
      <c r="B35" s="187" t="s">
        <v>279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4"/>
      <c r="O35" s="134"/>
      <c r="P35" s="134"/>
      <c r="Q35" s="134"/>
      <c r="R35" s="134"/>
      <c r="S35" s="134"/>
      <c r="T35" s="134"/>
      <c r="U35" s="134"/>
      <c r="V35" s="134"/>
    </row>
    <row r="36" spans="2:22">
      <c r="B36" s="187" t="s">
        <v>280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4"/>
      <c r="O36" s="134"/>
      <c r="P36" s="134"/>
      <c r="Q36" s="134"/>
      <c r="R36" s="134"/>
      <c r="S36" s="134"/>
      <c r="T36" s="134"/>
      <c r="U36" s="134"/>
      <c r="V36" s="134"/>
    </row>
  </sheetData>
  <mergeCells count="3">
    <mergeCell ref="B2:E2"/>
    <mergeCell ref="B4:E4"/>
    <mergeCell ref="G4:I4"/>
  </mergeCells>
  <pageMargins left="0.7" right="0.7" top="0.75" bottom="0.75" header="0.51180555555555496" footer="0.51180555555555496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43"/>
  <sheetViews>
    <sheetView topLeftCell="A4" zoomScaleNormal="100" zoomScalePageLayoutView="60" workbookViewId="0"/>
  </sheetViews>
  <sheetFormatPr baseColWidth="10" defaultColWidth="11.5703125" defaultRowHeight="15"/>
  <cols>
    <col min="1" max="1" width="3.5703125" style="188" customWidth="1"/>
    <col min="2" max="2" width="48.42578125" style="188" customWidth="1"/>
    <col min="3" max="3" width="1.7109375" style="188" customWidth="1"/>
    <col min="4" max="7" width="8" style="188" customWidth="1"/>
    <col min="8" max="8" width="8.42578125" style="188" customWidth="1"/>
    <col min="9" max="14" width="8" style="188" customWidth="1"/>
    <col min="15" max="15" width="3.7109375" style="188" customWidth="1"/>
    <col min="16" max="1024" width="11.5703125" style="188"/>
  </cols>
  <sheetData>
    <row r="1" spans="2:14" hidden="1"/>
    <row r="2" spans="2:14" ht="18" hidden="1">
      <c r="B2" s="189" t="s">
        <v>281</v>
      </c>
      <c r="D2" s="3" t="s">
        <v>282</v>
      </c>
      <c r="E2" s="3"/>
      <c r="F2" s="3"/>
      <c r="G2" s="3"/>
    </row>
    <row r="3" spans="2:14" hidden="1"/>
    <row r="4" spans="2:14" ht="20.25">
      <c r="B4" s="190" t="s">
        <v>283</v>
      </c>
    </row>
    <row r="5" spans="2:14">
      <c r="B5" s="188" t="s">
        <v>284</v>
      </c>
      <c r="D5" s="106">
        <v>10</v>
      </c>
    </row>
    <row r="6" spans="2:14">
      <c r="B6" s="188" t="s">
        <v>274</v>
      </c>
      <c r="D6" s="191">
        <v>0.35</v>
      </c>
      <c r="E6" s="192"/>
    </row>
    <row r="7" spans="2:14">
      <c r="B7" s="188" t="s">
        <v>285</v>
      </c>
      <c r="D7" s="191">
        <f>CCPP!D17</f>
        <v>0.16743148830958393</v>
      </c>
      <c r="E7" s="192"/>
    </row>
    <row r="8" spans="2:14"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2:14">
      <c r="D9" s="194">
        <f>Ppto!D$9</f>
        <v>0</v>
      </c>
      <c r="E9" s="194">
        <f>Ppto!E$9</f>
        <v>1</v>
      </c>
      <c r="F9" s="194">
        <f>Ppto!F$9</f>
        <v>2</v>
      </c>
      <c r="G9" s="194">
        <f>Ppto!G$9</f>
        <v>3</v>
      </c>
      <c r="H9" s="194">
        <f>Ppto!H$9</f>
        <v>4</v>
      </c>
      <c r="I9" s="194">
        <f>Ppto!I$9</f>
        <v>5</v>
      </c>
      <c r="J9" s="194">
        <f>Ppto!J$9</f>
        <v>6</v>
      </c>
      <c r="K9" s="194">
        <f>Ppto!K$9</f>
        <v>7</v>
      </c>
      <c r="L9" s="194">
        <f>Ppto!L$9</f>
        <v>8</v>
      </c>
      <c r="M9" s="194">
        <f>Ppto!M$9</f>
        <v>9</v>
      </c>
      <c r="N9" s="194">
        <f>Ppto!N$9</f>
        <v>10</v>
      </c>
    </row>
    <row r="10" spans="2:14" ht="20.25">
      <c r="B10" s="195" t="s">
        <v>286</v>
      </c>
      <c r="D10" s="194">
        <f>Ppto!D$10</f>
        <v>2023</v>
      </c>
      <c r="E10" s="194">
        <f>Ppto!E$10</f>
        <v>2024</v>
      </c>
      <c r="F10" s="194">
        <f>Ppto!F$10</f>
        <v>2025</v>
      </c>
      <c r="G10" s="194">
        <f>Ppto!G$10</f>
        <v>2026</v>
      </c>
      <c r="H10" s="194">
        <f>Ppto!H$10</f>
        <v>2027</v>
      </c>
      <c r="I10" s="194">
        <f>Ppto!I$10</f>
        <v>2028</v>
      </c>
      <c r="J10" s="194">
        <f>Ppto!J$10</f>
        <v>2029</v>
      </c>
      <c r="K10" s="194">
        <f>Ppto!K$10</f>
        <v>2030</v>
      </c>
      <c r="L10" s="194">
        <f>Ppto!L$10</f>
        <v>2031</v>
      </c>
      <c r="M10" s="194">
        <f>Ppto!M$10</f>
        <v>2032</v>
      </c>
      <c r="N10" s="194">
        <f>Ppto!N$10</f>
        <v>2033</v>
      </c>
    </row>
    <row r="11" spans="2:14">
      <c r="B11" s="188" t="s">
        <v>9</v>
      </c>
      <c r="D11" s="188">
        <v>0</v>
      </c>
      <c r="E11" s="196">
        <f t="shared" ref="E11:N11" si="0">IF($I33=1,$I34,0)</f>
        <v>0</v>
      </c>
      <c r="F11" s="196">
        <f t="shared" si="0"/>
        <v>0</v>
      </c>
      <c r="G11" s="196">
        <f t="shared" si="0"/>
        <v>0</v>
      </c>
      <c r="H11" s="196">
        <f t="shared" si="0"/>
        <v>0</v>
      </c>
      <c r="I11" s="196">
        <f t="shared" si="0"/>
        <v>0</v>
      </c>
      <c r="J11" s="196">
        <f t="shared" si="0"/>
        <v>0</v>
      </c>
      <c r="K11" s="196">
        <f t="shared" si="0"/>
        <v>0</v>
      </c>
      <c r="L11" s="196">
        <f t="shared" si="0"/>
        <v>0</v>
      </c>
      <c r="M11" s="196">
        <f t="shared" si="0"/>
        <v>0</v>
      </c>
      <c r="N11" s="196">
        <f t="shared" si="0"/>
        <v>0</v>
      </c>
    </row>
    <row r="12" spans="2:14">
      <c r="B12" s="188" t="s">
        <v>287</v>
      </c>
      <c r="D12" s="197">
        <f>-Ppto!D162</f>
        <v>0</v>
      </c>
      <c r="E12" s="197">
        <f>-Ppto!E162/(1-'Costo de Equipos'!$C$2)*(1-'Costo de Equipos'!$C$3)</f>
        <v>-254057.00839409156</v>
      </c>
      <c r="F12" s="197">
        <f>-Ppto!F162/(1-'Costo de Equipos'!$C$2)*(1-'Costo de Equipos'!$C$3)</f>
        <v>-268098.96670620359</v>
      </c>
      <c r="G12" s="197">
        <f>-Ppto!G162/(1-'Costo de Equipos'!$C$2)*(1-'Costo de Equipos'!$C$3)</f>
        <v>-276238.81289920269</v>
      </c>
      <c r="H12" s="197">
        <f>-Ppto!H162/(1-'Costo de Equipos'!$C$2)*(1-'Costo de Equipos'!$C$3)</f>
        <v>-369491.11032302061</v>
      </c>
      <c r="I12" s="197">
        <f>-Ppto!I162/(1-'Costo de Equipos'!$C$2)*(1-'Costo de Equipos'!$C$3)</f>
        <v>-308146.55339710123</v>
      </c>
      <c r="J12" s="197">
        <f>-Ppto!J162/(1-'Costo de Equipos'!$C$2)*(1-'Costo de Equipos'!$C$3)</f>
        <v>-332301.49023821042</v>
      </c>
      <c r="K12" s="197">
        <f>-Ppto!K162/(1-'Costo de Equipos'!$C$2)*(1-'Costo de Equipos'!$C$3)</f>
        <v>-341367.56940804364</v>
      </c>
      <c r="L12" s="197">
        <f>-Ppto!L162/(1-'Costo de Equipos'!$C$2)*(1-'Costo de Equipos'!$C$3)</f>
        <v>-453141.65835933934</v>
      </c>
      <c r="M12" s="197">
        <f>-Ppto!M162/(1-'Costo de Equipos'!$C$2)*(1-'Costo de Equipos'!$C$3)</f>
        <v>-378203.67585262249</v>
      </c>
      <c r="N12" s="197">
        <f>-Ppto!N162/(1-'Costo de Equipos'!$C$2)*(1-'Costo de Equipos'!$C$3)</f>
        <v>-407852.61248871405</v>
      </c>
    </row>
    <row r="13" spans="2:14">
      <c r="B13" s="188" t="s">
        <v>37</v>
      </c>
      <c r="D13" s="188">
        <v>0</v>
      </c>
      <c r="E13" s="198">
        <f>Ppto!E256</f>
        <v>-414702.96659229341</v>
      </c>
      <c r="F13" s="198">
        <f>Ppto!F256</f>
        <v>-414702.96659229341</v>
      </c>
      <c r="G13" s="198">
        <f>Ppto!G256</f>
        <v>-414702.96659229341</v>
      </c>
      <c r="H13" s="198">
        <f>Ppto!H256</f>
        <v>-414736.05009319633</v>
      </c>
      <c r="I13" s="198">
        <f>Ppto!I256</f>
        <v>-414736.05009319633</v>
      </c>
      <c r="J13" s="198">
        <f>Ppto!J256</f>
        <v>-414736.05009319633</v>
      </c>
      <c r="K13" s="198">
        <f>Ppto!K256</f>
        <v>-414891.1078350406</v>
      </c>
      <c r="L13" s="198">
        <f>Ppto!L256</f>
        <v>-414891.1078350406</v>
      </c>
      <c r="M13" s="198">
        <f>Ppto!M256</f>
        <v>-414891.1078350406</v>
      </c>
      <c r="N13" s="198">
        <f>Ppto!N256</f>
        <v>-415063.42179035867</v>
      </c>
    </row>
    <row r="14" spans="2:14">
      <c r="B14" s="188" t="s">
        <v>288</v>
      </c>
      <c r="D14" s="199"/>
      <c r="E14" s="199">
        <f>-Ppto!E181</f>
        <v>-57396.475282373074</v>
      </c>
      <c r="F14" s="199">
        <f>-Ppto!F181</f>
        <v>-55674.445616450139</v>
      </c>
      <c r="G14" s="199">
        <f>-Ppto!G181</f>
        <v>-53256.237345954294</v>
      </c>
      <c r="H14" s="199">
        <f>-Ppto!H181</f>
        <v>-50492.46207302234</v>
      </c>
      <c r="I14" s="199">
        <f>-Ppto!I181</f>
        <v>-47808.819462170373</v>
      </c>
      <c r="J14" s="199">
        <f>-Ppto!J181</f>
        <v>-45241.700002741622</v>
      </c>
      <c r="K14" s="199">
        <f>-Ppto!K181</f>
        <v>-42731.127071390714</v>
      </c>
      <c r="L14" s="199">
        <f>-Ppto!L181</f>
        <v>-40315.612062823187</v>
      </c>
      <c r="M14" s="199">
        <f>-Ppto!M181</f>
        <v>-38037.596004106541</v>
      </c>
      <c r="N14" s="199">
        <f>-Ppto!N181</f>
        <v>-35827.524282787097</v>
      </c>
    </row>
    <row r="15" spans="2:14">
      <c r="B15" s="200" t="s">
        <v>102</v>
      </c>
      <c r="C15" s="200"/>
      <c r="D15" s="198">
        <f t="shared" ref="D15:N15" si="1">SUM(D11:D14)</f>
        <v>0</v>
      </c>
      <c r="E15" s="198">
        <f t="shared" si="1"/>
        <v>-726156.450268758</v>
      </c>
      <c r="F15" s="198">
        <f t="shared" si="1"/>
        <v>-738476.37891494716</v>
      </c>
      <c r="G15" s="198">
        <f t="shared" si="1"/>
        <v>-744198.01683745033</v>
      </c>
      <c r="H15" s="198">
        <f t="shared" si="1"/>
        <v>-834719.62248923932</v>
      </c>
      <c r="I15" s="198">
        <f t="shared" si="1"/>
        <v>-770691.42295246792</v>
      </c>
      <c r="J15" s="198">
        <f t="shared" si="1"/>
        <v>-792279.2403341484</v>
      </c>
      <c r="K15" s="198">
        <f t="shared" si="1"/>
        <v>-798989.80431447492</v>
      </c>
      <c r="L15" s="198">
        <f t="shared" si="1"/>
        <v>-908348.37825720303</v>
      </c>
      <c r="M15" s="198">
        <f t="shared" si="1"/>
        <v>-831132.3796917696</v>
      </c>
      <c r="N15" s="198">
        <f t="shared" si="1"/>
        <v>-858743.55856185977</v>
      </c>
    </row>
    <row r="16" spans="2:14">
      <c r="B16" s="188" t="s">
        <v>289</v>
      </c>
      <c r="D16" s="188">
        <v>0</v>
      </c>
      <c r="E16" s="193">
        <f t="shared" ref="E16:N16" si="2">-E15*$D$6</f>
        <v>254154.75759406528</v>
      </c>
      <c r="F16" s="193">
        <f t="shared" si="2"/>
        <v>258466.73262023149</v>
      </c>
      <c r="G16" s="193">
        <f t="shared" si="2"/>
        <v>260469.30589310761</v>
      </c>
      <c r="H16" s="193">
        <f t="shared" si="2"/>
        <v>292151.86787123373</v>
      </c>
      <c r="I16" s="193">
        <f t="shared" si="2"/>
        <v>269741.99803336378</v>
      </c>
      <c r="J16" s="193">
        <f t="shared" si="2"/>
        <v>277297.73411695193</v>
      </c>
      <c r="K16" s="193">
        <f t="shared" si="2"/>
        <v>279646.43151006621</v>
      </c>
      <c r="L16" s="193">
        <f t="shared" si="2"/>
        <v>317921.93239002104</v>
      </c>
      <c r="M16" s="193">
        <f t="shared" si="2"/>
        <v>290896.33289211936</v>
      </c>
      <c r="N16" s="193">
        <f t="shared" si="2"/>
        <v>300560.24549665092</v>
      </c>
    </row>
    <row r="17" spans="2:14">
      <c r="B17" s="201" t="s">
        <v>168</v>
      </c>
      <c r="C17" s="201"/>
      <c r="D17" s="202">
        <f t="shared" ref="D17:N17" si="3">SUM(D15:D16)</f>
        <v>0</v>
      </c>
      <c r="E17" s="202">
        <f t="shared" si="3"/>
        <v>-472001.69267469272</v>
      </c>
      <c r="F17" s="202">
        <f t="shared" si="3"/>
        <v>-480009.6462947157</v>
      </c>
      <c r="G17" s="202">
        <f t="shared" si="3"/>
        <v>-483728.71094434272</v>
      </c>
      <c r="H17" s="202">
        <f t="shared" si="3"/>
        <v>-542567.75461800559</v>
      </c>
      <c r="I17" s="202">
        <f t="shared" si="3"/>
        <v>-500949.42491910415</v>
      </c>
      <c r="J17" s="202">
        <f t="shared" si="3"/>
        <v>-514981.50621719647</v>
      </c>
      <c r="K17" s="202">
        <f t="shared" si="3"/>
        <v>-519343.37280440872</v>
      </c>
      <c r="L17" s="202">
        <f t="shared" si="3"/>
        <v>-590426.44586718199</v>
      </c>
      <c r="M17" s="202">
        <f t="shared" si="3"/>
        <v>-540236.04679965018</v>
      </c>
      <c r="N17" s="202">
        <f t="shared" si="3"/>
        <v>-558183.31306520884</v>
      </c>
    </row>
    <row r="18" spans="2:14">
      <c r="B18" s="188" t="s">
        <v>37</v>
      </c>
      <c r="D18" s="188">
        <v>0</v>
      </c>
      <c r="E18" s="193">
        <f t="shared" ref="E18:N18" si="4">-E13</f>
        <v>414702.96659229341</v>
      </c>
      <c r="F18" s="193">
        <f t="shared" si="4"/>
        <v>414702.96659229341</v>
      </c>
      <c r="G18" s="193">
        <f t="shared" si="4"/>
        <v>414702.96659229341</v>
      </c>
      <c r="H18" s="193">
        <f t="shared" si="4"/>
        <v>414736.05009319633</v>
      </c>
      <c r="I18" s="193">
        <f t="shared" si="4"/>
        <v>414736.05009319633</v>
      </c>
      <c r="J18" s="193">
        <f t="shared" si="4"/>
        <v>414736.05009319633</v>
      </c>
      <c r="K18" s="193">
        <f t="shared" si="4"/>
        <v>414891.1078350406</v>
      </c>
      <c r="L18" s="193">
        <f t="shared" si="4"/>
        <v>414891.1078350406</v>
      </c>
      <c r="M18" s="193">
        <f t="shared" si="4"/>
        <v>414891.1078350406</v>
      </c>
      <c r="N18" s="193">
        <f t="shared" si="4"/>
        <v>415063.42179035867</v>
      </c>
    </row>
    <row r="19" spans="2:14">
      <c r="B19" s="188" t="s">
        <v>150</v>
      </c>
      <c r="D19" s="188">
        <v>0</v>
      </c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</row>
    <row r="20" spans="2:14">
      <c r="B20" s="188" t="s">
        <v>290</v>
      </c>
      <c r="D20" s="203">
        <f>-Ppto!D198</f>
        <v>-4140950.4948296007</v>
      </c>
      <c r="E20" s="199">
        <f>-Ppto!E198</f>
        <v>0</v>
      </c>
      <c r="F20" s="199">
        <f>-Ppto!F198</f>
        <v>0</v>
      </c>
      <c r="G20" s="199">
        <f>-Ppto!G198</f>
        <v>-2704.6095427086843</v>
      </c>
      <c r="H20" s="199">
        <f>-Ppto!H198</f>
        <v>0</v>
      </c>
      <c r="I20" s="199">
        <f>-Ppto!I198</f>
        <v>0</v>
      </c>
      <c r="J20" s="199">
        <f>-Ppto!J198</f>
        <v>-3169.7827682415877</v>
      </c>
      <c r="K20" s="199">
        <f>-Ppto!K198</f>
        <v>0</v>
      </c>
      <c r="L20" s="199">
        <f>-Ppto!L198</f>
        <v>0</v>
      </c>
      <c r="M20" s="199">
        <f>-Ppto!M198</f>
        <v>-3686.7246341957857</v>
      </c>
      <c r="N20" s="199">
        <f>-Ppto!N198</f>
        <v>0</v>
      </c>
    </row>
    <row r="21" spans="2:14">
      <c r="B21" s="188" t="s">
        <v>291</v>
      </c>
      <c r="D21" s="188">
        <v>0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97">
        <f>Ppto!N258+Ppto!N257</f>
        <v>2457.8164227977395</v>
      </c>
    </row>
    <row r="22" spans="2:14">
      <c r="B22" s="204" t="s">
        <v>286</v>
      </c>
      <c r="C22" s="204"/>
      <c r="D22" s="205">
        <f t="shared" ref="D22:N22" si="5">SUM(D17:D21)</f>
        <v>-4140950.4948296007</v>
      </c>
      <c r="E22" s="205">
        <f t="shared" si="5"/>
        <v>-57298.726082399313</v>
      </c>
      <c r="F22" s="205">
        <f t="shared" si="5"/>
        <v>-65306.679702422291</v>
      </c>
      <c r="G22" s="205">
        <f t="shared" si="5"/>
        <v>-71730.353894757995</v>
      </c>
      <c r="H22" s="205">
        <f t="shared" si="5"/>
        <v>-127831.70452480926</v>
      </c>
      <c r="I22" s="205">
        <f t="shared" si="5"/>
        <v>-86213.374825907813</v>
      </c>
      <c r="J22" s="205">
        <f t="shared" si="5"/>
        <v>-103415.23889224172</v>
      </c>
      <c r="K22" s="205">
        <f t="shared" si="5"/>
        <v>-104452.26496936812</v>
      </c>
      <c r="L22" s="205">
        <f t="shared" si="5"/>
        <v>-175535.33803214139</v>
      </c>
      <c r="M22" s="205">
        <f t="shared" si="5"/>
        <v>-129031.66359880536</v>
      </c>
      <c r="N22" s="205">
        <f t="shared" si="5"/>
        <v>-140662.07485205244</v>
      </c>
    </row>
    <row r="23" spans="2:14">
      <c r="B23" s="188" t="s">
        <v>292</v>
      </c>
      <c r="D23" s="196">
        <f>PMT(D7,N9,D24)</f>
        <v>974091.19522388885</v>
      </c>
    </row>
    <row r="24" spans="2:14">
      <c r="B24" s="200" t="s">
        <v>293</v>
      </c>
      <c r="C24" s="200"/>
      <c r="D24" s="198">
        <f>NPV(D7,E22:N22)+D22</f>
        <v>-4580625.1446701502</v>
      </c>
    </row>
    <row r="26" spans="2:14" ht="20.25">
      <c r="B26" s="195" t="s">
        <v>294</v>
      </c>
    </row>
    <row r="27" spans="2:14">
      <c r="B27" s="206" t="s">
        <v>295</v>
      </c>
      <c r="D27" s="207" t="s">
        <v>296</v>
      </c>
      <c r="E27" s="207" t="s">
        <v>297</v>
      </c>
      <c r="F27" s="208" t="s">
        <v>298</v>
      </c>
    </row>
    <row r="28" spans="2:14">
      <c r="B28" s="188" t="str">
        <f>B11</f>
        <v>Ingresos</v>
      </c>
      <c r="D28" s="193">
        <f>NPV(D$7,E11:N11)+D11</f>
        <v>0</v>
      </c>
      <c r="E28" s="193">
        <f t="shared" ref="E28:E34" si="6">PMT(D$7,$D$5,D28)</f>
        <v>0</v>
      </c>
      <c r="F28" s="209">
        <f t="shared" ref="F28:F34" si="7">IFERROR(E28/ROUND(E$35,2),0)</f>
        <v>0</v>
      </c>
    </row>
    <row r="29" spans="2:14">
      <c r="B29" s="188" t="str">
        <f>B12</f>
        <v>Costos de Operación</v>
      </c>
      <c r="D29" s="193">
        <f>NPV(D$7,E12:N12)+D12</f>
        <v>-1487705.1661791722</v>
      </c>
      <c r="E29" s="193">
        <f t="shared" si="6"/>
        <v>316367.40787453757</v>
      </c>
      <c r="F29" s="209">
        <f t="shared" si="7"/>
        <v>0.3247821229414018</v>
      </c>
    </row>
    <row r="30" spans="2:14">
      <c r="B30" s="188" t="str">
        <f>B14</f>
        <v>Gastos de Administración</v>
      </c>
      <c r="D30" s="193">
        <f>NPV(D$7,E14:N14)+D14</f>
        <v>-233793.68775286208</v>
      </c>
      <c r="E30" s="193">
        <f t="shared" si="6"/>
        <v>49717.312713085012</v>
      </c>
      <c r="F30" s="209">
        <f t="shared" si="7"/>
        <v>5.1039689828924657E-2</v>
      </c>
    </row>
    <row r="31" spans="2:14">
      <c r="B31" s="188" t="str">
        <f>B16</f>
        <v xml:space="preserve">Impuesto de Operación </v>
      </c>
      <c r="D31" s="193">
        <f>NPV(D$7,E16:N16)+D16</f>
        <v>1285168.7683473986</v>
      </c>
      <c r="E31" s="193">
        <f t="shared" si="6"/>
        <v>-273297.10292503703</v>
      </c>
      <c r="F31" s="209">
        <f t="shared" si="7"/>
        <v>-0.28056623745809123</v>
      </c>
    </row>
    <row r="32" spans="2:14">
      <c r="B32" s="188" t="str">
        <f>B19</f>
        <v>Variación de Capital de Trabajo neto Operativo</v>
      </c>
      <c r="D32" s="193">
        <f>NPV(D$54,E19:N19)+D19</f>
        <v>0</v>
      </c>
      <c r="E32" s="193">
        <f t="shared" si="6"/>
        <v>0</v>
      </c>
      <c r="F32" s="209">
        <f t="shared" si="7"/>
        <v>0</v>
      </c>
    </row>
    <row r="33" spans="2:14">
      <c r="B33" s="188" t="str">
        <f>B20</f>
        <v>Inversiones de Capital (CAPEX)</v>
      </c>
      <c r="D33" s="193">
        <f>NPV(D$7,E20:N20)+D20</f>
        <v>-4144817.7385184737</v>
      </c>
      <c r="E33" s="193">
        <f t="shared" si="6"/>
        <v>881414.72776842362</v>
      </c>
      <c r="F33" s="209">
        <f t="shared" si="7"/>
        <v>0.904858526356078</v>
      </c>
      <c r="H33" s="210" t="s">
        <v>299</v>
      </c>
      <c r="I33" s="211">
        <v>0</v>
      </c>
    </row>
    <row r="34" spans="2:14">
      <c r="B34" s="188" t="str">
        <f>B21</f>
        <v>Recuperación del Capital Empleado</v>
      </c>
      <c r="D34" s="193">
        <f>NPV(D$54,E21:N21)+D21</f>
        <v>522.67943295908344</v>
      </c>
      <c r="E34" s="193">
        <f t="shared" si="6"/>
        <v>-111.15020712019449</v>
      </c>
      <c r="F34" s="209">
        <f t="shared" si="7"/>
        <v>-1.1410657145880642E-4</v>
      </c>
      <c r="H34" s="193"/>
      <c r="I34" s="193">
        <v>1498601.8820380699</v>
      </c>
      <c r="J34" s="212" t="s">
        <v>300</v>
      </c>
      <c r="K34" s="193">
        <f>D23/(1-D6)</f>
        <v>1498601.8388059828</v>
      </c>
    </row>
    <row r="35" spans="2:14">
      <c r="B35" s="204" t="str">
        <f>B22</f>
        <v>Flujo de Caja del Proyecto Puro</v>
      </c>
      <c r="C35" s="204"/>
      <c r="D35" s="205">
        <f>SUM(D28:D34)</f>
        <v>-4580625.1446701502</v>
      </c>
      <c r="E35" s="205">
        <f>SUM(E28:E34)</f>
        <v>974091.19522388896</v>
      </c>
      <c r="F35" s="213">
        <f>SUM(F28:F34)</f>
        <v>0.99999999509685444</v>
      </c>
      <c r="I35" s="196">
        <f>K35</f>
        <v>974092.55163298105</v>
      </c>
      <c r="K35" s="214">
        <v>974092.55163298105</v>
      </c>
    </row>
    <row r="36" spans="2:14">
      <c r="B36" s="200"/>
      <c r="D36" s="215"/>
      <c r="I36" s="193">
        <f>I34-I35</f>
        <v>524509.33040508884</v>
      </c>
    </row>
    <row r="37" spans="2:14">
      <c r="B37" s="200" t="s">
        <v>301</v>
      </c>
      <c r="E37" s="198">
        <f t="shared" ref="E37:N37" si="8">-$D23</f>
        <v>-974091.19522388885</v>
      </c>
      <c r="F37" s="198">
        <f t="shared" si="8"/>
        <v>-974091.19522388885</v>
      </c>
      <c r="G37" s="198">
        <f t="shared" si="8"/>
        <v>-974091.19522388885</v>
      </c>
      <c r="H37" s="198">
        <f t="shared" si="8"/>
        <v>-974091.19522388885</v>
      </c>
      <c r="I37" s="198">
        <f t="shared" si="8"/>
        <v>-974091.19522388885</v>
      </c>
      <c r="J37" s="198">
        <f t="shared" si="8"/>
        <v>-974091.19522388885</v>
      </c>
      <c r="K37" s="198">
        <f t="shared" si="8"/>
        <v>-974091.19522388885</v>
      </c>
      <c r="L37" s="198">
        <f t="shared" si="8"/>
        <v>-974091.19522388885</v>
      </c>
      <c r="M37" s="198">
        <f t="shared" si="8"/>
        <v>-974091.19522388885</v>
      </c>
      <c r="N37" s="198">
        <f t="shared" si="8"/>
        <v>-974091.19522388885</v>
      </c>
    </row>
    <row r="38" spans="2:14">
      <c r="B38" s="200" t="s">
        <v>293</v>
      </c>
      <c r="D38" s="198">
        <f>NPV(D7,E37:N37)</f>
        <v>-4580625.1446701493</v>
      </c>
    </row>
    <row r="40" spans="2:14">
      <c r="D40" s="194">
        <f t="shared" ref="D40:N40" si="9">D$9</f>
        <v>0</v>
      </c>
      <c r="E40" s="194">
        <f t="shared" si="9"/>
        <v>1</v>
      </c>
      <c r="F40" s="194">
        <f t="shared" si="9"/>
        <v>2</v>
      </c>
      <c r="G40" s="194">
        <f t="shared" si="9"/>
        <v>3</v>
      </c>
      <c r="H40" s="194">
        <f t="shared" si="9"/>
        <v>4</v>
      </c>
      <c r="I40" s="194">
        <f t="shared" si="9"/>
        <v>5</v>
      </c>
      <c r="J40" s="194">
        <f t="shared" si="9"/>
        <v>6</v>
      </c>
      <c r="K40" s="194">
        <f t="shared" si="9"/>
        <v>7</v>
      </c>
      <c r="L40" s="194">
        <f t="shared" si="9"/>
        <v>8</v>
      </c>
      <c r="M40" s="194">
        <f t="shared" si="9"/>
        <v>9</v>
      </c>
      <c r="N40" s="194">
        <f t="shared" si="9"/>
        <v>10</v>
      </c>
    </row>
    <row r="41" spans="2:14" ht="20.25">
      <c r="B41" s="195" t="s">
        <v>202</v>
      </c>
      <c r="D41" s="194">
        <f t="shared" ref="D41:N41" si="10">D$10</f>
        <v>2023</v>
      </c>
      <c r="E41" s="194">
        <f t="shared" si="10"/>
        <v>2024</v>
      </c>
      <c r="F41" s="194">
        <f t="shared" si="10"/>
        <v>2025</v>
      </c>
      <c r="G41" s="194">
        <f t="shared" si="10"/>
        <v>2026</v>
      </c>
      <c r="H41" s="194">
        <f t="shared" si="10"/>
        <v>2027</v>
      </c>
      <c r="I41" s="194">
        <f t="shared" si="10"/>
        <v>2028</v>
      </c>
      <c r="J41" s="194">
        <f t="shared" si="10"/>
        <v>2029</v>
      </c>
      <c r="K41" s="194">
        <f t="shared" si="10"/>
        <v>2030</v>
      </c>
      <c r="L41" s="194">
        <f t="shared" si="10"/>
        <v>2031</v>
      </c>
      <c r="M41" s="194">
        <f t="shared" si="10"/>
        <v>2032</v>
      </c>
      <c r="N41" s="194">
        <f t="shared" si="10"/>
        <v>2033</v>
      </c>
    </row>
    <row r="42" spans="2:14">
      <c r="B42" s="188" t="s">
        <v>145</v>
      </c>
      <c r="D42" s="193">
        <f t="shared" ref="D42:N42" si="11">C42-D20+D13</f>
        <v>4140950.4948296007</v>
      </c>
      <c r="E42" s="193">
        <f t="shared" si="11"/>
        <v>3726247.5282373074</v>
      </c>
      <c r="F42" s="193">
        <f t="shared" si="11"/>
        <v>3311544.5616450142</v>
      </c>
      <c r="G42" s="193">
        <f t="shared" si="11"/>
        <v>2899546.2045954298</v>
      </c>
      <c r="H42" s="193">
        <f t="shared" si="11"/>
        <v>2484810.1545022335</v>
      </c>
      <c r="I42" s="193">
        <f t="shared" si="11"/>
        <v>2070074.1044090372</v>
      </c>
      <c r="J42" s="193">
        <f t="shared" si="11"/>
        <v>1658507.8370840824</v>
      </c>
      <c r="K42" s="193">
        <f t="shared" si="11"/>
        <v>1243616.7292490418</v>
      </c>
      <c r="L42" s="193">
        <f t="shared" si="11"/>
        <v>828725.6214140011</v>
      </c>
      <c r="M42" s="193">
        <f t="shared" si="11"/>
        <v>417521.23821315629</v>
      </c>
      <c r="N42" s="193">
        <f t="shared" si="11"/>
        <v>2457.8164227976231</v>
      </c>
    </row>
    <row r="43" spans="2:14">
      <c r="B43" s="188" t="s">
        <v>302</v>
      </c>
      <c r="D43" s="193"/>
      <c r="E43" s="193">
        <f t="shared" ref="E43:N43" si="12">-D42*$D$7</f>
        <v>-693325.50436562812</v>
      </c>
      <c r="F43" s="193">
        <f t="shared" si="12"/>
        <v>-623891.16946268082</v>
      </c>
      <c r="G43" s="193">
        <f t="shared" si="12"/>
        <v>-554456.8345597334</v>
      </c>
      <c r="H43" s="193">
        <f t="shared" si="12"/>
        <v>-485475.33645781816</v>
      </c>
      <c r="I43" s="193">
        <f t="shared" si="12"/>
        <v>-416035.46233507612</v>
      </c>
      <c r="J43" s="193">
        <f t="shared" si="12"/>
        <v>-346595.58821233414</v>
      </c>
      <c r="K43" s="193">
        <f t="shared" si="12"/>
        <v>-277686.43553609686</v>
      </c>
      <c r="L43" s="193">
        <f t="shared" si="12"/>
        <v>-208220.59986486394</v>
      </c>
      <c r="M43" s="193">
        <f t="shared" si="12"/>
        <v>-138754.76419363101</v>
      </c>
      <c r="N43" s="193">
        <f t="shared" si="12"/>
        <v>-69906.202314889088</v>
      </c>
    </row>
    <row r="44" spans="2:14">
      <c r="B44" s="188" t="str">
        <f>B64</f>
        <v>Utilidad neta Operativa después de Impuestos (UNODI)</v>
      </c>
      <c r="D44" s="193"/>
      <c r="E44" s="193">
        <f t="shared" ref="E44:N44" si="13">E17</f>
        <v>-472001.69267469272</v>
      </c>
      <c r="F44" s="193">
        <f t="shared" si="13"/>
        <v>-480009.6462947157</v>
      </c>
      <c r="G44" s="193">
        <f t="shared" si="13"/>
        <v>-483728.71094434272</v>
      </c>
      <c r="H44" s="193">
        <f t="shared" si="13"/>
        <v>-542567.75461800559</v>
      </c>
      <c r="I44" s="193">
        <f t="shared" si="13"/>
        <v>-500949.42491910415</v>
      </c>
      <c r="J44" s="193">
        <f t="shared" si="13"/>
        <v>-514981.50621719647</v>
      </c>
      <c r="K44" s="193">
        <f t="shared" si="13"/>
        <v>-519343.37280440872</v>
      </c>
      <c r="L44" s="193">
        <f t="shared" si="13"/>
        <v>-590426.44586718199</v>
      </c>
      <c r="M44" s="193">
        <f t="shared" si="13"/>
        <v>-540236.04679965018</v>
      </c>
      <c r="N44" s="193">
        <f t="shared" si="13"/>
        <v>-558183.31306520884</v>
      </c>
    </row>
    <row r="45" spans="2:14">
      <c r="B45" s="204" t="s">
        <v>202</v>
      </c>
      <c r="C45" s="204"/>
      <c r="D45" s="205"/>
      <c r="E45" s="205">
        <f t="shared" ref="E45:N45" si="14">SUM(E43:E44)</f>
        <v>-1165327.1970403208</v>
      </c>
      <c r="F45" s="205">
        <f t="shared" si="14"/>
        <v>-1103900.8157573966</v>
      </c>
      <c r="G45" s="205">
        <f t="shared" si="14"/>
        <v>-1038185.5455040762</v>
      </c>
      <c r="H45" s="205">
        <f t="shared" si="14"/>
        <v>-1028043.0910758238</v>
      </c>
      <c r="I45" s="205">
        <f t="shared" si="14"/>
        <v>-916984.88725418027</v>
      </c>
      <c r="J45" s="205">
        <f t="shared" si="14"/>
        <v>-861577.09442953067</v>
      </c>
      <c r="K45" s="205">
        <f t="shared" si="14"/>
        <v>-797029.80834050558</v>
      </c>
      <c r="L45" s="205">
        <f t="shared" si="14"/>
        <v>-798647.0457320459</v>
      </c>
      <c r="M45" s="205">
        <f t="shared" si="14"/>
        <v>-678990.81099328119</v>
      </c>
      <c r="N45" s="205">
        <f t="shared" si="14"/>
        <v>-628089.5153800979</v>
      </c>
    </row>
    <row r="46" spans="2:14">
      <c r="B46" s="200" t="s">
        <v>293</v>
      </c>
      <c r="C46" s="200"/>
      <c r="D46" s="198">
        <f>NPV(D54,E45:N45)</f>
        <v>-4580625.1446701502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</row>
    <row r="48" spans="2:14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</row>
    <row r="50" spans="2:14" ht="20.25">
      <c r="B50" s="190" t="s">
        <v>303</v>
      </c>
    </row>
    <row r="51" spans="2:14">
      <c r="B51" s="217" t="s">
        <v>31</v>
      </c>
      <c r="D51" s="218">
        <v>10</v>
      </c>
      <c r="F51" s="188" t="s">
        <v>304</v>
      </c>
      <c r="G51" s="219">
        <f>2000000</f>
        <v>2000000</v>
      </c>
      <c r="H51" s="220">
        <f>G51/D51</f>
        <v>200000</v>
      </c>
    </row>
    <row r="52" spans="2:14">
      <c r="B52" s="217" t="s">
        <v>305</v>
      </c>
      <c r="D52" s="221">
        <f>D51-H52</f>
        <v>3</v>
      </c>
      <c r="F52" s="188" t="s">
        <v>306</v>
      </c>
      <c r="G52" s="222">
        <v>-1400000</v>
      </c>
      <c r="H52" s="188">
        <f>-G52/H51</f>
        <v>7</v>
      </c>
    </row>
    <row r="53" spans="2:14">
      <c r="B53" s="188" t="s">
        <v>274</v>
      </c>
      <c r="D53" s="223">
        <f>D6</f>
        <v>0.35</v>
      </c>
      <c r="E53" s="192"/>
      <c r="G53" s="220">
        <f>SUM(G51:G52)</f>
        <v>600000</v>
      </c>
    </row>
    <row r="54" spans="2:14">
      <c r="B54" s="188" t="s">
        <v>285</v>
      </c>
      <c r="D54" s="223">
        <f>D7</f>
        <v>0.16743148830958393</v>
      </c>
      <c r="E54" s="192"/>
    </row>
    <row r="55" spans="2:14">
      <c r="E55" s="193">
        <f>D70/(1-$D53)</f>
        <v>2262180.0327492803</v>
      </c>
      <c r="F55" s="193">
        <f t="shared" ref="F55:N55" si="15">E55</f>
        <v>2262180.0327492803</v>
      </c>
      <c r="G55" s="193">
        <f t="shared" si="15"/>
        <v>2262180.0327492803</v>
      </c>
      <c r="H55" s="193">
        <f t="shared" si="15"/>
        <v>2262180.0327492803</v>
      </c>
      <c r="I55" s="193">
        <f t="shared" si="15"/>
        <v>2262180.0327492803</v>
      </c>
      <c r="J55" s="193">
        <f t="shared" si="15"/>
        <v>2262180.0327492803</v>
      </c>
      <c r="K55" s="193">
        <f t="shared" si="15"/>
        <v>2262180.0327492803</v>
      </c>
      <c r="L55" s="193">
        <f t="shared" si="15"/>
        <v>2262180.0327492803</v>
      </c>
      <c r="M55" s="193">
        <f t="shared" si="15"/>
        <v>2262180.0327492803</v>
      </c>
      <c r="N55" s="193">
        <f t="shared" si="15"/>
        <v>2262180.0327492803</v>
      </c>
    </row>
    <row r="56" spans="2:14">
      <c r="D56" s="194">
        <f t="shared" ref="D56:N56" si="16">D$9</f>
        <v>0</v>
      </c>
      <c r="E56" s="194">
        <f t="shared" si="16"/>
        <v>1</v>
      </c>
      <c r="F56" s="194">
        <f t="shared" si="16"/>
        <v>2</v>
      </c>
      <c r="G56" s="194">
        <f t="shared" si="16"/>
        <v>3</v>
      </c>
      <c r="H56" s="194">
        <f t="shared" si="16"/>
        <v>4</v>
      </c>
      <c r="I56" s="194">
        <f t="shared" si="16"/>
        <v>5</v>
      </c>
      <c r="J56" s="194">
        <f t="shared" si="16"/>
        <v>6</v>
      </c>
      <c r="K56" s="194">
        <f t="shared" si="16"/>
        <v>7</v>
      </c>
      <c r="L56" s="194">
        <f t="shared" si="16"/>
        <v>8</v>
      </c>
      <c r="M56" s="194">
        <f t="shared" si="16"/>
        <v>9</v>
      </c>
      <c r="N56" s="194">
        <f t="shared" si="16"/>
        <v>10</v>
      </c>
    </row>
    <row r="57" spans="2:14" ht="20.25">
      <c r="B57" s="195" t="s">
        <v>286</v>
      </c>
      <c r="D57" s="194">
        <f t="shared" ref="D57:N57" si="17">D$10</f>
        <v>2023</v>
      </c>
      <c r="E57" s="194">
        <f t="shared" si="17"/>
        <v>2024</v>
      </c>
      <c r="F57" s="194">
        <f t="shared" si="17"/>
        <v>2025</v>
      </c>
      <c r="G57" s="194">
        <f t="shared" si="17"/>
        <v>2026</v>
      </c>
      <c r="H57" s="194">
        <f t="shared" si="17"/>
        <v>2027</v>
      </c>
      <c r="I57" s="194">
        <f t="shared" si="17"/>
        <v>2028</v>
      </c>
      <c r="J57" s="194">
        <f t="shared" si="17"/>
        <v>2029</v>
      </c>
      <c r="K57" s="194">
        <f t="shared" si="17"/>
        <v>2030</v>
      </c>
      <c r="L57" s="194">
        <f t="shared" si="17"/>
        <v>2031</v>
      </c>
      <c r="M57" s="194">
        <f t="shared" si="17"/>
        <v>2032</v>
      </c>
      <c r="N57" s="194">
        <f t="shared" si="17"/>
        <v>2033</v>
      </c>
    </row>
    <row r="58" spans="2:14">
      <c r="B58" s="188" t="s">
        <v>9</v>
      </c>
      <c r="E58" s="196">
        <f t="shared" ref="E58:N58" si="18">2513577.70672699*$I33</f>
        <v>0</v>
      </c>
      <c r="F58" s="196">
        <f t="shared" si="18"/>
        <v>0</v>
      </c>
      <c r="G58" s="196">
        <f t="shared" si="18"/>
        <v>0</v>
      </c>
      <c r="H58" s="196">
        <f t="shared" si="18"/>
        <v>0</v>
      </c>
      <c r="I58" s="196">
        <f t="shared" si="18"/>
        <v>0</v>
      </c>
      <c r="J58" s="196">
        <f t="shared" si="18"/>
        <v>0</v>
      </c>
      <c r="K58" s="196">
        <f t="shared" si="18"/>
        <v>0</v>
      </c>
      <c r="L58" s="196">
        <f t="shared" si="18"/>
        <v>0</v>
      </c>
      <c r="M58" s="196">
        <f t="shared" si="18"/>
        <v>0</v>
      </c>
      <c r="N58" s="196">
        <f t="shared" si="18"/>
        <v>0</v>
      </c>
    </row>
    <row r="59" spans="2:14">
      <c r="B59" s="188" t="s">
        <v>287</v>
      </c>
      <c r="D59" s="224">
        <f>-Ppto!D50</f>
        <v>0</v>
      </c>
      <c r="E59" s="224">
        <f>-Ppto!E50</f>
        <v>-1253656.1389247999</v>
      </c>
      <c r="F59" s="224">
        <f>-Ppto!F50</f>
        <v>-1412718.9571830072</v>
      </c>
      <c r="G59" s="224">
        <f>-Ppto!G50</f>
        <v>-1562879.8298914253</v>
      </c>
      <c r="H59" s="224">
        <f>-Ppto!H50</f>
        <v>-1705714.6761930315</v>
      </c>
      <c r="I59" s="224">
        <f>-Ppto!I50</f>
        <v>-1843239.0596568298</v>
      </c>
      <c r="J59" s="224">
        <f>-Ppto!J50</f>
        <v>-1999964.2396419032</v>
      </c>
      <c r="K59" s="224">
        <f>-Ppto!K50</f>
        <v>-2171699.5682019503</v>
      </c>
      <c r="L59" s="224">
        <f>-Ppto!L50</f>
        <v>-2359930.1633283021</v>
      </c>
      <c r="M59" s="224">
        <f>-Ppto!M50</f>
        <v>-2566289.2732866369</v>
      </c>
      <c r="N59" s="224">
        <f>-Ppto!N50</f>
        <v>-2792573.0804878175</v>
      </c>
    </row>
    <row r="60" spans="2:14">
      <c r="B60" s="188" t="s">
        <v>37</v>
      </c>
      <c r="D60" s="224">
        <f>Ppto!D128</f>
        <v>0</v>
      </c>
      <c r="E60" s="224">
        <f>Ppto!E128</f>
        <v>-85446.5019856</v>
      </c>
      <c r="F60" s="224">
        <f>Ppto!F128</f>
        <v>-85446.5019856</v>
      </c>
      <c r="G60" s="224">
        <f>Ppto!G128</f>
        <v>-85446.5019856</v>
      </c>
      <c r="H60" s="224">
        <f>Ppto!H128</f>
        <v>-210467.88802158411</v>
      </c>
      <c r="I60" s="224">
        <f>Ppto!I128</f>
        <v>-210467.88802158411</v>
      </c>
      <c r="J60" s="224">
        <f>Ppto!J128</f>
        <v>-210467.88802158411</v>
      </c>
      <c r="K60" s="224">
        <f>Ppto!K128</f>
        <v>-283089.7436878205</v>
      </c>
      <c r="L60" s="224">
        <f>Ppto!L128</f>
        <v>-283089.7436878205</v>
      </c>
      <c r="M60" s="224">
        <f>Ppto!M128</f>
        <v>-283089.7436878205</v>
      </c>
      <c r="N60" s="224">
        <f>Ppto!N128</f>
        <v>-366817.04278987908</v>
      </c>
    </row>
    <row r="61" spans="2:14">
      <c r="B61" s="188" t="s">
        <v>288</v>
      </c>
      <c r="D61" s="199">
        <v>0</v>
      </c>
      <c r="E61" s="199">
        <v>0</v>
      </c>
      <c r="F61" s="199">
        <v>0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</row>
    <row r="62" spans="2:14">
      <c r="B62" s="200" t="s">
        <v>102</v>
      </c>
      <c r="C62" s="200"/>
      <c r="D62" s="198">
        <f t="shared" ref="D62:N62" si="19">SUM(D58:D61)</f>
        <v>0</v>
      </c>
      <c r="E62" s="198">
        <f t="shared" si="19"/>
        <v>-1339102.6409103998</v>
      </c>
      <c r="F62" s="198">
        <f t="shared" si="19"/>
        <v>-1498165.4591686071</v>
      </c>
      <c r="G62" s="198">
        <f t="shared" si="19"/>
        <v>-1648326.3318770253</v>
      </c>
      <c r="H62" s="198">
        <f t="shared" si="19"/>
        <v>-1916182.5642146156</v>
      </c>
      <c r="I62" s="198">
        <f t="shared" si="19"/>
        <v>-2053706.9476784139</v>
      </c>
      <c r="J62" s="198">
        <f t="shared" si="19"/>
        <v>-2210432.1276634871</v>
      </c>
      <c r="K62" s="198">
        <f t="shared" si="19"/>
        <v>-2454789.3118897709</v>
      </c>
      <c r="L62" s="198">
        <f t="shared" si="19"/>
        <v>-2643019.9070161227</v>
      </c>
      <c r="M62" s="198">
        <f t="shared" si="19"/>
        <v>-2849379.0169744575</v>
      </c>
      <c r="N62" s="198">
        <f t="shared" si="19"/>
        <v>-3159390.1232776968</v>
      </c>
    </row>
    <row r="63" spans="2:14">
      <c r="B63" s="188" t="s">
        <v>289</v>
      </c>
      <c r="D63" s="193">
        <f t="shared" ref="D63:N63" si="20">-D62*$D$53</f>
        <v>0</v>
      </c>
      <c r="E63" s="193">
        <f t="shared" si="20"/>
        <v>468685.92431863991</v>
      </c>
      <c r="F63" s="193">
        <f t="shared" si="20"/>
        <v>524357.91070901242</v>
      </c>
      <c r="G63" s="193">
        <f t="shared" si="20"/>
        <v>576914.21615695884</v>
      </c>
      <c r="H63" s="193">
        <f t="shared" si="20"/>
        <v>670663.89747511537</v>
      </c>
      <c r="I63" s="193">
        <f t="shared" si="20"/>
        <v>718797.4316874448</v>
      </c>
      <c r="J63" s="193">
        <f t="shared" si="20"/>
        <v>773651.24468222039</v>
      </c>
      <c r="K63" s="193">
        <f t="shared" si="20"/>
        <v>859176.25916141982</v>
      </c>
      <c r="L63" s="193">
        <f t="shared" si="20"/>
        <v>925056.96745564288</v>
      </c>
      <c r="M63" s="193">
        <f t="shared" si="20"/>
        <v>997282.65594106005</v>
      </c>
      <c r="N63" s="193">
        <f t="shared" si="20"/>
        <v>1105786.5431471937</v>
      </c>
    </row>
    <row r="64" spans="2:14">
      <c r="B64" s="201" t="s">
        <v>168</v>
      </c>
      <c r="C64" s="201"/>
      <c r="D64" s="202">
        <f t="shared" ref="D64:N64" si="21">SUM(D62:D63)</f>
        <v>0</v>
      </c>
      <c r="E64" s="202">
        <f t="shared" si="21"/>
        <v>-870416.71659175993</v>
      </c>
      <c r="F64" s="202">
        <f t="shared" si="21"/>
        <v>-973807.54845959472</v>
      </c>
      <c r="G64" s="202">
        <f t="shared" si="21"/>
        <v>-1071412.1157200665</v>
      </c>
      <c r="H64" s="202">
        <f t="shared" si="21"/>
        <v>-1245518.6667395001</v>
      </c>
      <c r="I64" s="202">
        <f t="shared" si="21"/>
        <v>-1334909.5159909693</v>
      </c>
      <c r="J64" s="202">
        <f t="shared" si="21"/>
        <v>-1436780.8829812668</v>
      </c>
      <c r="K64" s="202">
        <f t="shared" si="21"/>
        <v>-1595613.0527283512</v>
      </c>
      <c r="L64" s="202">
        <f t="shared" si="21"/>
        <v>-1717962.93956048</v>
      </c>
      <c r="M64" s="202">
        <f t="shared" si="21"/>
        <v>-1852096.3610333975</v>
      </c>
      <c r="N64" s="202">
        <f t="shared" si="21"/>
        <v>-2053603.580130503</v>
      </c>
    </row>
    <row r="65" spans="2:14">
      <c r="B65" s="188" t="s">
        <v>37</v>
      </c>
      <c r="E65" s="196">
        <f t="shared" ref="E65:N65" si="22">-E60</f>
        <v>85446.5019856</v>
      </c>
      <c r="F65" s="196">
        <f t="shared" si="22"/>
        <v>85446.5019856</v>
      </c>
      <c r="G65" s="196">
        <f t="shared" si="22"/>
        <v>85446.5019856</v>
      </c>
      <c r="H65" s="196">
        <f t="shared" si="22"/>
        <v>210467.88802158411</v>
      </c>
      <c r="I65" s="196">
        <f t="shared" si="22"/>
        <v>210467.88802158411</v>
      </c>
      <c r="J65" s="196">
        <f t="shared" si="22"/>
        <v>210467.88802158411</v>
      </c>
      <c r="K65" s="196">
        <f t="shared" si="22"/>
        <v>283089.7436878205</v>
      </c>
      <c r="L65" s="196">
        <f t="shared" si="22"/>
        <v>283089.7436878205</v>
      </c>
      <c r="M65" s="196">
        <f t="shared" si="22"/>
        <v>283089.7436878205</v>
      </c>
      <c r="N65" s="196">
        <f t="shared" si="22"/>
        <v>366817.04278987908</v>
      </c>
    </row>
    <row r="66" spans="2:14">
      <c r="B66" s="188" t="s">
        <v>150</v>
      </c>
      <c r="E66" s="225">
        <v>0</v>
      </c>
      <c r="F66" s="225">
        <v>0</v>
      </c>
      <c r="G66" s="225">
        <v>0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</row>
    <row r="67" spans="2:14">
      <c r="B67" s="188" t="s">
        <v>290</v>
      </c>
      <c r="D67" s="193">
        <f>-Ppto!D70</f>
        <v>-854465.01985600009</v>
      </c>
      <c r="E67" s="193">
        <f>-Ppto!E70</f>
        <v>0</v>
      </c>
      <c r="F67" s="193">
        <f>-Ppto!F70</f>
        <v>0</v>
      </c>
      <c r="G67" s="193">
        <f>-Ppto!G70</f>
        <v>-1250213.860359841</v>
      </c>
      <c r="H67" s="193">
        <f>-Ppto!H70</f>
        <v>0</v>
      </c>
      <c r="I67" s="193">
        <f>-Ppto!I70</f>
        <v>0</v>
      </c>
      <c r="J67" s="193">
        <f>-Ppto!J70</f>
        <v>-726218.55666236393</v>
      </c>
      <c r="K67" s="193">
        <f>-Ppto!K70</f>
        <v>0</v>
      </c>
      <c r="L67" s="193">
        <f>-Ppto!L70</f>
        <v>0</v>
      </c>
      <c r="M67" s="193">
        <f>-Ppto!M70</f>
        <v>-837272.99102058599</v>
      </c>
      <c r="N67" s="193">
        <f>-Ppto!N70</f>
        <v>0</v>
      </c>
    </row>
    <row r="68" spans="2:14">
      <c r="B68" s="188" t="s">
        <v>291</v>
      </c>
      <c r="N68" s="193">
        <f>Ppto!N130+Ppto!N129</f>
        <v>1564340.9840238979</v>
      </c>
    </row>
    <row r="69" spans="2:14">
      <c r="B69" s="204" t="s">
        <v>286</v>
      </c>
      <c r="C69" s="204"/>
      <c r="D69" s="205">
        <f t="shared" ref="D69:N69" si="23">SUM(D64:D68)</f>
        <v>-854465.01985600009</v>
      </c>
      <c r="E69" s="205">
        <f t="shared" si="23"/>
        <v>-784970.21460615995</v>
      </c>
      <c r="F69" s="205">
        <f t="shared" si="23"/>
        <v>-888361.04647399473</v>
      </c>
      <c r="G69" s="205">
        <f t="shared" si="23"/>
        <v>-2236179.4740943075</v>
      </c>
      <c r="H69" s="205">
        <f t="shared" si="23"/>
        <v>-1035050.778717916</v>
      </c>
      <c r="I69" s="205">
        <f t="shared" si="23"/>
        <v>-1124441.6279693851</v>
      </c>
      <c r="J69" s="205">
        <f t="shared" si="23"/>
        <v>-1952531.5516220466</v>
      </c>
      <c r="K69" s="205">
        <f t="shared" si="23"/>
        <v>-1312523.3090405306</v>
      </c>
      <c r="L69" s="205">
        <f t="shared" si="23"/>
        <v>-1434873.1958726593</v>
      </c>
      <c r="M69" s="205">
        <f t="shared" si="23"/>
        <v>-2406279.608366163</v>
      </c>
      <c r="N69" s="205">
        <f t="shared" si="23"/>
        <v>-122445.55331672612</v>
      </c>
    </row>
    <row r="70" spans="2:14">
      <c r="B70" s="200" t="s">
        <v>292</v>
      </c>
      <c r="C70" s="200"/>
      <c r="D70" s="198">
        <f>PMT(D54,N56,D71)</f>
        <v>1470417.0212870322</v>
      </c>
      <c r="E70" s="188">
        <v>1450000</v>
      </c>
      <c r="F70" s="193">
        <f>D70+E70</f>
        <v>2920417.0212870324</v>
      </c>
    </row>
    <row r="71" spans="2:14">
      <c r="B71" s="200" t="s">
        <v>293</v>
      </c>
      <c r="C71" s="200"/>
      <c r="D71" s="198">
        <f>NPV(D54,E69:N69)+D69</f>
        <v>-6914577.6225913493</v>
      </c>
    </row>
    <row r="73" spans="2:14" ht="20.25">
      <c r="B73" s="195" t="s">
        <v>294</v>
      </c>
      <c r="D73" s="212" t="s">
        <v>296</v>
      </c>
      <c r="E73" s="212" t="s">
        <v>297</v>
      </c>
      <c r="F73" s="38" t="s">
        <v>298</v>
      </c>
    </row>
    <row r="74" spans="2:14">
      <c r="B74" s="188" t="str">
        <f>B59</f>
        <v>Costos de Operación</v>
      </c>
      <c r="D74" s="193">
        <f>NPV(D$54,E59:N59)+D59</f>
        <v>-8300798.1145617748</v>
      </c>
      <c r="E74" s="193">
        <f t="shared" ref="E74:E79" si="24">PMT(D$54,N$56,D74)</f>
        <v>1765203.2422111533</v>
      </c>
      <c r="F74" s="209">
        <f t="shared" ref="F74:F79" si="25">E74/E$80</f>
        <v>1.4051845949345776</v>
      </c>
    </row>
    <row r="75" spans="2:14">
      <c r="B75" s="188" t="str">
        <f>B61</f>
        <v>Gastos de Administración</v>
      </c>
      <c r="D75" s="193">
        <f>NPV(D$54,E61:N61)+D61</f>
        <v>0</v>
      </c>
      <c r="E75" s="193">
        <f t="shared" si="24"/>
        <v>0</v>
      </c>
      <c r="F75" s="209">
        <f t="shared" si="25"/>
        <v>0</v>
      </c>
    </row>
    <row r="76" spans="2:14">
      <c r="B76" s="188" t="str">
        <f>B63</f>
        <v xml:space="preserve">Impuesto de Operación </v>
      </c>
      <c r="D76" s="193">
        <f>NPV(D$54,E63:N63)+D63</f>
        <v>3188505.3421807308</v>
      </c>
      <c r="E76" s="193">
        <f t="shared" si="24"/>
        <v>-678050.45853981085</v>
      </c>
      <c r="F76" s="209">
        <f t="shared" si="25"/>
        <v>-0.5397599755906729</v>
      </c>
    </row>
    <row r="77" spans="2:14">
      <c r="B77" s="188" t="str">
        <f>B66</f>
        <v>Variación de Capital de Trabajo neto Operativo</v>
      </c>
      <c r="D77" s="193">
        <f>NPV(D$54,E66:N66)+D66</f>
        <v>0</v>
      </c>
      <c r="E77" s="193">
        <f t="shared" si="24"/>
        <v>0</v>
      </c>
      <c r="F77" s="209">
        <f t="shared" si="25"/>
        <v>0</v>
      </c>
    </row>
    <row r="78" spans="2:14">
      <c r="B78" s="188" t="str">
        <f>B67</f>
        <v>Inversiones de Capital (CAPEX)</v>
      </c>
      <c r="D78" s="193">
        <f>NPV(D$54,E67:N67)+D67</f>
        <v>-2134957.7263861159</v>
      </c>
      <c r="E78" s="193">
        <f t="shared" si="24"/>
        <v>454008.66863504995</v>
      </c>
      <c r="F78" s="209">
        <f t="shared" si="25"/>
        <v>0.36141219995358259</v>
      </c>
    </row>
    <row r="79" spans="2:14">
      <c r="B79" s="188" t="str">
        <f>B68</f>
        <v>Recuperación del Capital Empleado</v>
      </c>
      <c r="D79" s="193">
        <f>NPV(D$54,E68:N68)+D68</f>
        <v>1339985.2579692111</v>
      </c>
      <c r="E79" s="193">
        <f t="shared" si="24"/>
        <v>-284954.08384080115</v>
      </c>
      <c r="F79" s="209">
        <f t="shared" si="25"/>
        <v>-0.22683681929748717</v>
      </c>
    </row>
    <row r="80" spans="2:14">
      <c r="B80" s="226" t="str">
        <f>B69</f>
        <v>Flujo de Caja del Proyecto Puro</v>
      </c>
      <c r="C80" s="226"/>
      <c r="D80" s="202">
        <f>SUM(D74:D79)</f>
        <v>-5907265.240797949</v>
      </c>
      <c r="E80" s="202">
        <f>SUM(E74:E79)</f>
        <v>1256207.368465591</v>
      </c>
      <c r="F80" s="227">
        <f>SUM(F74:F79)</f>
        <v>1</v>
      </c>
    </row>
    <row r="82" spans="2:14">
      <c r="B82" s="200" t="s">
        <v>301</v>
      </c>
      <c r="C82" s="200"/>
      <c r="E82" s="198">
        <f t="shared" ref="E82:N82" si="26">-$D70</f>
        <v>-1470417.0212870322</v>
      </c>
      <c r="F82" s="198">
        <f t="shared" si="26"/>
        <v>-1470417.0212870322</v>
      </c>
      <c r="G82" s="198">
        <f t="shared" si="26"/>
        <v>-1470417.0212870322</v>
      </c>
      <c r="H82" s="198">
        <f t="shared" si="26"/>
        <v>-1470417.0212870322</v>
      </c>
      <c r="I82" s="198">
        <f t="shared" si="26"/>
        <v>-1470417.0212870322</v>
      </c>
      <c r="J82" s="198">
        <f t="shared" si="26"/>
        <v>-1470417.0212870322</v>
      </c>
      <c r="K82" s="198">
        <f t="shared" si="26"/>
        <v>-1470417.0212870322</v>
      </c>
      <c r="L82" s="198">
        <f t="shared" si="26"/>
        <v>-1470417.0212870322</v>
      </c>
      <c r="M82" s="198">
        <f t="shared" si="26"/>
        <v>-1470417.0212870322</v>
      </c>
      <c r="N82" s="198">
        <f t="shared" si="26"/>
        <v>-1470417.0212870322</v>
      </c>
    </row>
    <row r="83" spans="2:14">
      <c r="B83" s="200" t="s">
        <v>307</v>
      </c>
      <c r="C83" s="200"/>
      <c r="D83" s="198">
        <f>NPV(D54,E82:N82)</f>
        <v>-6914577.6225913484</v>
      </c>
    </row>
    <row r="84" spans="2:14">
      <c r="B84" s="200"/>
      <c r="C84" s="200"/>
      <c r="D84" s="198"/>
    </row>
    <row r="85" spans="2:14">
      <c r="B85" s="188" t="s">
        <v>145</v>
      </c>
      <c r="D85" s="193">
        <f t="shared" ref="D85:N85" si="27">C85-D67+D60</f>
        <v>854465.01985600009</v>
      </c>
      <c r="E85" s="193">
        <f t="shared" si="27"/>
        <v>769018.5178704001</v>
      </c>
      <c r="F85" s="193">
        <f t="shared" si="27"/>
        <v>683572.01588480012</v>
      </c>
      <c r="G85" s="193">
        <f t="shared" si="27"/>
        <v>1848339.3742590412</v>
      </c>
      <c r="H85" s="193">
        <f t="shared" si="27"/>
        <v>1637871.486237457</v>
      </c>
      <c r="I85" s="193">
        <f t="shared" si="27"/>
        <v>1427403.5982158729</v>
      </c>
      <c r="J85" s="193">
        <f t="shared" si="27"/>
        <v>1943154.2668566527</v>
      </c>
      <c r="K85" s="193">
        <f t="shared" si="27"/>
        <v>1660064.5231688321</v>
      </c>
      <c r="L85" s="193">
        <f t="shared" si="27"/>
        <v>1376974.7794810114</v>
      </c>
      <c r="M85" s="193">
        <f t="shared" si="27"/>
        <v>1931158.0268137767</v>
      </c>
      <c r="N85" s="193">
        <f t="shared" si="27"/>
        <v>1564340.9840238977</v>
      </c>
    </row>
    <row r="86" spans="2:14">
      <c r="B86" s="188" t="s">
        <v>302</v>
      </c>
      <c r="D86" s="193"/>
      <c r="E86" s="193">
        <f t="shared" ref="E86:N86" si="28">-D85*$D$54</f>
        <v>-143064.34998296827</v>
      </c>
      <c r="F86" s="193">
        <f t="shared" si="28"/>
        <v>-128757.91498467146</v>
      </c>
      <c r="G86" s="193">
        <f t="shared" si="28"/>
        <v>-114451.47998637463</v>
      </c>
      <c r="H86" s="193">
        <f t="shared" si="28"/>
        <v>-309470.21233339631</v>
      </c>
      <c r="I86" s="193">
        <f t="shared" si="28"/>
        <v>-274231.26060056762</v>
      </c>
      <c r="J86" s="193">
        <f t="shared" si="28"/>
        <v>-238992.30886773896</v>
      </c>
      <c r="K86" s="193">
        <f t="shared" si="28"/>
        <v>-325345.21091492777</v>
      </c>
      <c r="L86" s="193">
        <f t="shared" si="28"/>
        <v>-277947.07380409731</v>
      </c>
      <c r="M86" s="193">
        <f t="shared" si="28"/>
        <v>-230548.93669326688</v>
      </c>
      <c r="N86" s="193">
        <f t="shared" si="28"/>
        <v>-323336.66259043</v>
      </c>
    </row>
    <row r="87" spans="2:14">
      <c r="B87" s="228" t="str">
        <f>B64</f>
        <v>Utilidad neta Operativa después de Impuestos (UNODI)</v>
      </c>
      <c r="D87" s="193"/>
      <c r="E87" s="193">
        <f t="shared" ref="E87:N87" si="29">E64</f>
        <v>-870416.71659175993</v>
      </c>
      <c r="F87" s="193">
        <f t="shared" si="29"/>
        <v>-973807.54845959472</v>
      </c>
      <c r="G87" s="193">
        <f t="shared" si="29"/>
        <v>-1071412.1157200665</v>
      </c>
      <c r="H87" s="193">
        <f t="shared" si="29"/>
        <v>-1245518.6667395001</v>
      </c>
      <c r="I87" s="193">
        <f t="shared" si="29"/>
        <v>-1334909.5159909693</v>
      </c>
      <c r="J87" s="193">
        <f t="shared" si="29"/>
        <v>-1436780.8829812668</v>
      </c>
      <c r="K87" s="193">
        <f t="shared" si="29"/>
        <v>-1595613.0527283512</v>
      </c>
      <c r="L87" s="193">
        <f t="shared" si="29"/>
        <v>-1717962.93956048</v>
      </c>
      <c r="M87" s="193">
        <f t="shared" si="29"/>
        <v>-1852096.3610333975</v>
      </c>
      <c r="N87" s="193">
        <f t="shared" si="29"/>
        <v>-2053603.580130503</v>
      </c>
    </row>
    <row r="88" spans="2:14">
      <c r="B88" s="204" t="s">
        <v>202</v>
      </c>
      <c r="C88" s="204"/>
      <c r="D88" s="205"/>
      <c r="E88" s="205">
        <f t="shared" ref="E88:N88" si="30">SUM(E86:E87)</f>
        <v>-1013481.0665747282</v>
      </c>
      <c r="F88" s="205">
        <f t="shared" si="30"/>
        <v>-1102565.4634442662</v>
      </c>
      <c r="G88" s="205">
        <f t="shared" si="30"/>
        <v>-1185863.5957064412</v>
      </c>
      <c r="H88" s="205">
        <f t="shared" si="30"/>
        <v>-1554988.8790728964</v>
      </c>
      <c r="I88" s="205">
        <f t="shared" si="30"/>
        <v>-1609140.7765915368</v>
      </c>
      <c r="J88" s="205">
        <f t="shared" si="30"/>
        <v>-1675773.1918490059</v>
      </c>
      <c r="K88" s="205">
        <f t="shared" si="30"/>
        <v>-1920958.263643279</v>
      </c>
      <c r="L88" s="205">
        <f t="shared" si="30"/>
        <v>-1995910.0133645772</v>
      </c>
      <c r="M88" s="205">
        <f t="shared" si="30"/>
        <v>-2082645.2977266645</v>
      </c>
      <c r="N88" s="205">
        <f t="shared" si="30"/>
        <v>-2376940.2427209332</v>
      </c>
    </row>
    <row r="89" spans="2:14">
      <c r="B89" s="200" t="s">
        <v>293</v>
      </c>
      <c r="C89" s="200"/>
      <c r="D89" s="198">
        <f>NPV(D54,E88:N88)</f>
        <v>-6914577.6225913493</v>
      </c>
    </row>
    <row r="91" spans="2:14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</row>
    <row r="93" spans="2:14" ht="20.25">
      <c r="B93" s="190" t="s">
        <v>308</v>
      </c>
    </row>
    <row r="94" spans="2:14">
      <c r="B94" s="188" t="str">
        <f>"Flujo de Caja del Proyecto Puro "&amp;B4</f>
        <v>Flujo de Caja del Proyecto Puro Escenario Propuesto</v>
      </c>
      <c r="D94" s="193">
        <f t="shared" ref="D94:N94" si="31">D22</f>
        <v>-4140950.4948296007</v>
      </c>
      <c r="E94" s="193">
        <f t="shared" si="31"/>
        <v>-57298.726082399313</v>
      </c>
      <c r="F94" s="193">
        <f t="shared" si="31"/>
        <v>-65306.679702422291</v>
      </c>
      <c r="G94" s="193">
        <f t="shared" si="31"/>
        <v>-71730.353894757995</v>
      </c>
      <c r="H94" s="193">
        <f t="shared" si="31"/>
        <v>-127831.70452480926</v>
      </c>
      <c r="I94" s="193">
        <f t="shared" si="31"/>
        <v>-86213.374825907813</v>
      </c>
      <c r="J94" s="193">
        <f t="shared" si="31"/>
        <v>-103415.23889224172</v>
      </c>
      <c r="K94" s="193">
        <f t="shared" si="31"/>
        <v>-104452.26496936812</v>
      </c>
      <c r="L94" s="193">
        <f t="shared" si="31"/>
        <v>-175535.33803214139</v>
      </c>
      <c r="M94" s="193">
        <f t="shared" si="31"/>
        <v>-129031.66359880536</v>
      </c>
      <c r="N94" s="193">
        <f t="shared" si="31"/>
        <v>-140662.07485205244</v>
      </c>
    </row>
    <row r="95" spans="2:14">
      <c r="B95" s="188" t="str">
        <f>"Flujo de Caja del Proyecto Puro "&amp;B50</f>
        <v>Flujo de Caja del Proyecto Puro Escenario Actual</v>
      </c>
      <c r="D95" s="193">
        <f t="shared" ref="D95:N95" si="32">D69</f>
        <v>-854465.01985600009</v>
      </c>
      <c r="E95" s="193">
        <f t="shared" si="32"/>
        <v>-784970.21460615995</v>
      </c>
      <c r="F95" s="193">
        <f t="shared" si="32"/>
        <v>-888361.04647399473</v>
      </c>
      <c r="G95" s="193">
        <f t="shared" si="32"/>
        <v>-2236179.4740943075</v>
      </c>
      <c r="H95" s="193">
        <f t="shared" si="32"/>
        <v>-1035050.778717916</v>
      </c>
      <c r="I95" s="193">
        <f t="shared" si="32"/>
        <v>-1124441.6279693851</v>
      </c>
      <c r="J95" s="193">
        <f t="shared" si="32"/>
        <v>-1952531.5516220466</v>
      </c>
      <c r="K95" s="193">
        <f t="shared" si="32"/>
        <v>-1312523.3090405306</v>
      </c>
      <c r="L95" s="193">
        <f t="shared" si="32"/>
        <v>-1434873.1958726593</v>
      </c>
      <c r="M95" s="193">
        <f t="shared" si="32"/>
        <v>-2406279.608366163</v>
      </c>
      <c r="N95" s="193">
        <f t="shared" si="32"/>
        <v>-122445.55331672612</v>
      </c>
    </row>
    <row r="96" spans="2:14">
      <c r="B96" s="204" t="s">
        <v>309</v>
      </c>
      <c r="C96" s="204"/>
      <c r="D96" s="205">
        <f t="shared" ref="D96:N96" si="33">D94-D95</f>
        <v>-3286485.4749736004</v>
      </c>
      <c r="E96" s="205">
        <f t="shared" si="33"/>
        <v>727671.48852376058</v>
      </c>
      <c r="F96" s="205">
        <f t="shared" si="33"/>
        <v>823054.3667715725</v>
      </c>
      <c r="G96" s="205">
        <f t="shared" si="33"/>
        <v>2164449.1201995495</v>
      </c>
      <c r="H96" s="205">
        <f t="shared" si="33"/>
        <v>907219.07419310673</v>
      </c>
      <c r="I96" s="205">
        <f t="shared" si="33"/>
        <v>1038228.2531434773</v>
      </c>
      <c r="J96" s="205">
        <f t="shared" si="33"/>
        <v>1849116.312729805</v>
      </c>
      <c r="K96" s="205">
        <f t="shared" si="33"/>
        <v>1208071.0440711626</v>
      </c>
      <c r="L96" s="205">
        <f t="shared" si="33"/>
        <v>1259337.857840518</v>
      </c>
      <c r="M96" s="205">
        <f t="shared" si="33"/>
        <v>2277247.9447673578</v>
      </c>
      <c r="N96" s="205">
        <f t="shared" si="33"/>
        <v>-18216.521535326319</v>
      </c>
    </row>
    <row r="97" spans="2:14"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</row>
    <row r="98" spans="2:14" ht="16.5">
      <c r="B98" s="229" t="s">
        <v>269</v>
      </c>
      <c r="C98" s="230"/>
      <c r="D98" s="231">
        <f>D7</f>
        <v>0.16743148830958393</v>
      </c>
    </row>
    <row r="99" spans="2:14" ht="16.5">
      <c r="B99" s="232" t="s">
        <v>310</v>
      </c>
      <c r="C99" s="233"/>
      <c r="D99" s="234">
        <f>NPV(D54,E96:N96)</f>
        <v>5620437.9528948003</v>
      </c>
    </row>
    <row r="100" spans="2:14" ht="16.5">
      <c r="B100" s="232" t="s">
        <v>311</v>
      </c>
      <c r="C100" s="233"/>
      <c r="D100" s="235">
        <f>-D96</f>
        <v>3286485.4749736004</v>
      </c>
    </row>
    <row r="101" spans="2:14" ht="16.5">
      <c r="B101" s="236" t="s">
        <v>209</v>
      </c>
      <c r="C101" s="237"/>
      <c r="D101" s="238">
        <f>D99-D100</f>
        <v>2333952.4779212</v>
      </c>
    </row>
    <row r="102" spans="2:14" ht="16.5">
      <c r="B102" s="232" t="s">
        <v>312</v>
      </c>
      <c r="C102" s="233"/>
      <c r="D102" s="239">
        <f>+IRR(D96:N96)</f>
        <v>0.32850277172966647</v>
      </c>
    </row>
    <row r="103" spans="2:14" ht="16.5">
      <c r="B103" s="232" t="s">
        <v>313</v>
      </c>
      <c r="C103" s="233"/>
      <c r="D103" s="239">
        <f>MIRR(D96:N96,D98,D98)</f>
        <v>0.23172571612738824</v>
      </c>
    </row>
    <row r="104" spans="2:14" ht="16.5">
      <c r="B104" s="232" t="str">
        <f>B111</f>
        <v>Periodo de Recuperación de la Inversión Simple   (PRI)</v>
      </c>
      <c r="C104" s="233"/>
      <c r="D104" s="240">
        <f>D111</f>
        <v>2.8019405970227842</v>
      </c>
    </row>
    <row r="105" spans="2:14" ht="16.5">
      <c r="B105" s="232" t="str">
        <f>B115</f>
        <v>Periodo de Recuperación de la Inversión Descontado   (PRID)</v>
      </c>
      <c r="C105" s="233"/>
      <c r="D105" s="240">
        <f>D115</f>
        <v>4.4396688910883491</v>
      </c>
    </row>
    <row r="106" spans="2:14" ht="16.5">
      <c r="B106" s="241" t="s">
        <v>314</v>
      </c>
      <c r="C106" s="242"/>
      <c r="D106" s="243">
        <f>D99/D100</f>
        <v>1.7101666797842605</v>
      </c>
    </row>
    <row r="108" spans="2:14">
      <c r="B108" s="206" t="s">
        <v>315</v>
      </c>
    </row>
    <row r="109" spans="2:14">
      <c r="B109" s="188" t="str">
        <f>B96</f>
        <v>Flujo de Caja del Proyecto Puro Diferencial</v>
      </c>
      <c r="D109" s="193">
        <f t="shared" ref="D109:N109" si="34">D96</f>
        <v>-3286485.4749736004</v>
      </c>
      <c r="E109" s="193">
        <f t="shared" si="34"/>
        <v>727671.48852376058</v>
      </c>
      <c r="F109" s="193">
        <f t="shared" si="34"/>
        <v>823054.3667715725</v>
      </c>
      <c r="G109" s="193">
        <f t="shared" si="34"/>
        <v>2164449.1201995495</v>
      </c>
      <c r="H109" s="193">
        <f t="shared" si="34"/>
        <v>907219.07419310673</v>
      </c>
      <c r="I109" s="193">
        <f t="shared" si="34"/>
        <v>1038228.2531434773</v>
      </c>
      <c r="J109" s="193">
        <f t="shared" si="34"/>
        <v>1849116.312729805</v>
      </c>
      <c r="K109" s="193">
        <f t="shared" si="34"/>
        <v>1208071.0440711626</v>
      </c>
      <c r="L109" s="193">
        <f t="shared" si="34"/>
        <v>1259337.857840518</v>
      </c>
      <c r="M109" s="193">
        <f t="shared" si="34"/>
        <v>2277247.9447673578</v>
      </c>
      <c r="N109" s="193">
        <f t="shared" si="34"/>
        <v>-18216.521535326319</v>
      </c>
    </row>
    <row r="110" spans="2:14">
      <c r="B110" s="188" t="str">
        <f>"Acumulado "&amp; B109</f>
        <v>Acumulado Flujo de Caja del Proyecto Puro Diferencial</v>
      </c>
      <c r="D110" s="193">
        <f t="shared" ref="D110:N110" si="35">C110+D109</f>
        <v>-3286485.4749736004</v>
      </c>
      <c r="E110" s="193">
        <f t="shared" si="35"/>
        <v>-2558813.9864498395</v>
      </c>
      <c r="F110" s="193">
        <f t="shared" si="35"/>
        <v>-1735759.619678267</v>
      </c>
      <c r="G110" s="193">
        <f t="shared" si="35"/>
        <v>428689.50052128243</v>
      </c>
      <c r="H110" s="193">
        <f t="shared" si="35"/>
        <v>1335908.5747143892</v>
      </c>
      <c r="I110" s="193">
        <f t="shared" si="35"/>
        <v>2374136.8278578664</v>
      </c>
      <c r="J110" s="193">
        <f t="shared" si="35"/>
        <v>4223253.1405876717</v>
      </c>
      <c r="K110" s="193">
        <f t="shared" si="35"/>
        <v>5431324.1846588347</v>
      </c>
      <c r="L110" s="193">
        <f t="shared" si="35"/>
        <v>6690662.0424993522</v>
      </c>
      <c r="M110" s="193">
        <f t="shared" si="35"/>
        <v>8967909.98726671</v>
      </c>
      <c r="N110" s="193">
        <f t="shared" si="35"/>
        <v>8949693.4657313842</v>
      </c>
    </row>
    <row r="111" spans="2:14">
      <c r="B111" s="188" t="str">
        <f>B108&amp;"   (PRI)"</f>
        <v>Periodo de Recuperación de la Inversión Simple   (PRI)</v>
      </c>
      <c r="D111" s="244">
        <f>SUM(E111:N111)</f>
        <v>2.8019405970227842</v>
      </c>
      <c r="E111" s="245" t="str">
        <f t="shared" ref="E111:N111" si="36">IF(AND(D110&lt;0,E110&gt;0),D$56+ABS(D110/E109)," ")</f>
        <v xml:space="preserve"> </v>
      </c>
      <c r="F111" s="245" t="str">
        <f t="shared" si="36"/>
        <v xml:space="preserve"> </v>
      </c>
      <c r="G111" s="245">
        <f t="shared" si="36"/>
        <v>2.8019405970227842</v>
      </c>
      <c r="H111" s="245" t="str">
        <f t="shared" si="36"/>
        <v xml:space="preserve"> </v>
      </c>
      <c r="I111" s="245" t="str">
        <f t="shared" si="36"/>
        <v xml:space="preserve"> </v>
      </c>
      <c r="J111" s="245" t="str">
        <f t="shared" si="36"/>
        <v xml:space="preserve"> </v>
      </c>
      <c r="K111" s="245" t="str">
        <f t="shared" si="36"/>
        <v xml:space="preserve"> </v>
      </c>
      <c r="L111" s="245" t="str">
        <f t="shared" si="36"/>
        <v xml:space="preserve"> </v>
      </c>
      <c r="M111" s="245" t="str">
        <f t="shared" si="36"/>
        <v xml:space="preserve"> </v>
      </c>
      <c r="N111" s="245" t="str">
        <f t="shared" si="36"/>
        <v xml:space="preserve"> </v>
      </c>
    </row>
    <row r="112" spans="2:14">
      <c r="B112" s="206" t="s">
        <v>316</v>
      </c>
    </row>
    <row r="113" spans="2:14">
      <c r="B113" s="188" t="str">
        <f>"Valor presente del "&amp;B109</f>
        <v>Valor presente del Flujo de Caja del Proyecto Puro Diferencial</v>
      </c>
      <c r="D113" s="193">
        <f t="shared" ref="D113:N113" si="37">PV($D98,D56,,-D109)</f>
        <v>-3286485.4749736004</v>
      </c>
      <c r="E113" s="193">
        <f t="shared" si="37"/>
        <v>623309.80088383041</v>
      </c>
      <c r="F113" s="193">
        <f t="shared" si="37"/>
        <v>603900.95630309975</v>
      </c>
      <c r="G113" s="193">
        <f t="shared" si="37"/>
        <v>1360357.8658465054</v>
      </c>
      <c r="H113" s="193">
        <f t="shared" si="37"/>
        <v>488412.26390982151</v>
      </c>
      <c r="I113" s="193">
        <f t="shared" si="37"/>
        <v>478779.80975470843</v>
      </c>
      <c r="J113" s="193">
        <f t="shared" si="37"/>
        <v>730425.30674092215</v>
      </c>
      <c r="K113" s="193">
        <f t="shared" si="37"/>
        <v>408764.01248793461</v>
      </c>
      <c r="L113" s="193">
        <f t="shared" si="37"/>
        <v>364998.4622554619</v>
      </c>
      <c r="M113" s="193">
        <f t="shared" si="37"/>
        <v>565363.40160886827</v>
      </c>
      <c r="N113" s="193">
        <f t="shared" si="37"/>
        <v>-3873.9268963517848</v>
      </c>
    </row>
    <row r="114" spans="2:14">
      <c r="B114" s="188" t="str">
        <f>"Acumulado "&amp; B113</f>
        <v>Acumulado Valor presente del Flujo de Caja del Proyecto Puro Diferencial</v>
      </c>
      <c r="D114" s="193">
        <f t="shared" ref="D114:N114" si="38">C114+D113</f>
        <v>-3286485.4749736004</v>
      </c>
      <c r="E114" s="193">
        <f t="shared" si="38"/>
        <v>-2663175.6740897698</v>
      </c>
      <c r="F114" s="193">
        <f t="shared" si="38"/>
        <v>-2059274.7177866702</v>
      </c>
      <c r="G114" s="193">
        <f t="shared" si="38"/>
        <v>-698916.85194016481</v>
      </c>
      <c r="H114" s="193">
        <f t="shared" si="38"/>
        <v>-210504.58803034329</v>
      </c>
      <c r="I114" s="193">
        <f t="shared" si="38"/>
        <v>268275.22172436514</v>
      </c>
      <c r="J114" s="193">
        <f t="shared" si="38"/>
        <v>998700.52846528729</v>
      </c>
      <c r="K114" s="193">
        <f t="shared" si="38"/>
        <v>1407464.540953222</v>
      </c>
      <c r="L114" s="193">
        <f t="shared" si="38"/>
        <v>1772463.0032086838</v>
      </c>
      <c r="M114" s="193">
        <f t="shared" si="38"/>
        <v>2337826.4048175523</v>
      </c>
      <c r="N114" s="193">
        <f t="shared" si="38"/>
        <v>2333952.4779212005</v>
      </c>
    </row>
    <row r="115" spans="2:14">
      <c r="B115" s="188" t="str">
        <f>B112&amp;"   (PRID)"</f>
        <v>Periodo de Recuperación de la Inversión Descontado   (PRID)</v>
      </c>
      <c r="D115" s="244">
        <f>SUM(E115:N115)</f>
        <v>4.4396688910883491</v>
      </c>
      <c r="E115" s="245" t="str">
        <f t="shared" ref="E115:N115" si="39">IF(AND(D114&lt;0,E114&gt;0),D$56+ABS(D114/E113)," ")</f>
        <v xml:space="preserve"> </v>
      </c>
      <c r="F115" s="245" t="str">
        <f t="shared" si="39"/>
        <v xml:space="preserve"> </v>
      </c>
      <c r="G115" s="245" t="str">
        <f t="shared" si="39"/>
        <v xml:space="preserve"> </v>
      </c>
      <c r="H115" s="245" t="str">
        <f t="shared" si="39"/>
        <v xml:space="preserve"> </v>
      </c>
      <c r="I115" s="245">
        <f t="shared" si="39"/>
        <v>4.4396688910883491</v>
      </c>
      <c r="J115" s="245" t="str">
        <f t="shared" si="39"/>
        <v xml:space="preserve"> </v>
      </c>
      <c r="K115" s="245" t="str">
        <f t="shared" si="39"/>
        <v xml:space="preserve"> </v>
      </c>
      <c r="L115" s="245" t="str">
        <f t="shared" si="39"/>
        <v xml:space="preserve"> </v>
      </c>
      <c r="M115" s="245" t="str">
        <f t="shared" si="39"/>
        <v xml:space="preserve"> </v>
      </c>
      <c r="N115" s="245" t="str">
        <f t="shared" si="39"/>
        <v xml:space="preserve"> </v>
      </c>
    </row>
    <row r="118" spans="2:14" ht="20.25">
      <c r="B118" s="190" t="s">
        <v>317</v>
      </c>
    </row>
    <row r="119" spans="2:14">
      <c r="B119" s="188" t="s">
        <v>145</v>
      </c>
      <c r="D119" s="193">
        <f t="shared" ref="D119:N119" si="40">D42-D85</f>
        <v>3286485.4749736004</v>
      </c>
      <c r="E119" s="193">
        <f t="shared" si="40"/>
        <v>2957229.0103669073</v>
      </c>
      <c r="F119" s="193">
        <f t="shared" si="40"/>
        <v>2627972.5457602143</v>
      </c>
      <c r="G119" s="193">
        <f t="shared" si="40"/>
        <v>1051206.8303363887</v>
      </c>
      <c r="H119" s="193">
        <f t="shared" si="40"/>
        <v>846938.66826477647</v>
      </c>
      <c r="I119" s="193">
        <f t="shared" si="40"/>
        <v>642670.50619316427</v>
      </c>
      <c r="J119" s="193">
        <f t="shared" si="40"/>
        <v>-284646.42977257026</v>
      </c>
      <c r="K119" s="193">
        <f t="shared" si="40"/>
        <v>-416447.7939197903</v>
      </c>
      <c r="L119" s="193">
        <f t="shared" si="40"/>
        <v>-548249.15806701034</v>
      </c>
      <c r="M119" s="193">
        <f t="shared" si="40"/>
        <v>-1513636.7886006203</v>
      </c>
      <c r="N119" s="193">
        <f t="shared" si="40"/>
        <v>-1561883.1676011002</v>
      </c>
    </row>
    <row r="120" spans="2:14">
      <c r="B120" s="188" t="s">
        <v>318</v>
      </c>
      <c r="E120" s="193">
        <f t="shared" ref="E120:N120" si="41">-D119*$D98</f>
        <v>-550261.1543826597</v>
      </c>
      <c r="F120" s="193">
        <f t="shared" si="41"/>
        <v>-495133.2544780093</v>
      </c>
      <c r="G120" s="193">
        <f t="shared" si="41"/>
        <v>-440005.35457335884</v>
      </c>
      <c r="H120" s="193">
        <f t="shared" si="41"/>
        <v>-176005.12412442183</v>
      </c>
      <c r="I120" s="193">
        <f t="shared" si="41"/>
        <v>-141804.2017345085</v>
      </c>
      <c r="J120" s="193">
        <f t="shared" si="41"/>
        <v>-107603.27934459517</v>
      </c>
      <c r="K120" s="193">
        <f t="shared" si="41"/>
        <v>47658.775378830898</v>
      </c>
      <c r="L120" s="193">
        <f t="shared" si="41"/>
        <v>69726.473939233387</v>
      </c>
      <c r="M120" s="193">
        <f t="shared" si="41"/>
        <v>91794.172499635868</v>
      </c>
      <c r="N120" s="193">
        <f t="shared" si="41"/>
        <v>253430.46027554094</v>
      </c>
    </row>
    <row r="121" spans="2:14">
      <c r="B121" s="188" t="str">
        <f>B87</f>
        <v>Utilidad neta Operativa después de Impuestos (UNODI)</v>
      </c>
      <c r="E121" s="193">
        <f t="shared" ref="E121:N121" si="42">E17-E64</f>
        <v>398415.02391706721</v>
      </c>
      <c r="F121" s="193">
        <f t="shared" si="42"/>
        <v>493797.90216487902</v>
      </c>
      <c r="G121" s="193">
        <f t="shared" si="42"/>
        <v>587683.40477572381</v>
      </c>
      <c r="H121" s="193">
        <f t="shared" si="42"/>
        <v>702950.91212149453</v>
      </c>
      <c r="I121" s="193">
        <f t="shared" si="42"/>
        <v>833960.09107186506</v>
      </c>
      <c r="J121" s="193">
        <f t="shared" si="42"/>
        <v>921799.37676407036</v>
      </c>
      <c r="K121" s="193">
        <f t="shared" si="42"/>
        <v>1076269.6799239425</v>
      </c>
      <c r="L121" s="193">
        <f t="shared" si="42"/>
        <v>1127536.493693298</v>
      </c>
      <c r="M121" s="193">
        <f t="shared" si="42"/>
        <v>1311860.3142337473</v>
      </c>
      <c r="N121" s="193">
        <f t="shared" si="42"/>
        <v>1495420.2670652941</v>
      </c>
    </row>
    <row r="122" spans="2:14">
      <c r="B122" s="204" t="s">
        <v>202</v>
      </c>
      <c r="C122" s="204"/>
      <c r="D122" s="204"/>
      <c r="E122" s="205">
        <f t="shared" ref="E122:N122" si="43">SUM(E120:E121)</f>
        <v>-151846.13046559249</v>
      </c>
      <c r="F122" s="205">
        <f t="shared" si="43"/>
        <v>-1335.3523131302791</v>
      </c>
      <c r="G122" s="205">
        <f t="shared" si="43"/>
        <v>147678.05020236498</v>
      </c>
      <c r="H122" s="205">
        <f t="shared" si="43"/>
        <v>526945.78799707268</v>
      </c>
      <c r="I122" s="205">
        <f t="shared" si="43"/>
        <v>692155.88933735655</v>
      </c>
      <c r="J122" s="205">
        <f t="shared" si="43"/>
        <v>814196.09741947521</v>
      </c>
      <c r="K122" s="205">
        <f t="shared" si="43"/>
        <v>1123928.4553027735</v>
      </c>
      <c r="L122" s="205">
        <f t="shared" si="43"/>
        <v>1197262.9676325314</v>
      </c>
      <c r="M122" s="205">
        <f t="shared" si="43"/>
        <v>1403654.4867333833</v>
      </c>
      <c r="N122" s="205">
        <f t="shared" si="43"/>
        <v>1748850.7273408351</v>
      </c>
    </row>
    <row r="123" spans="2:14">
      <c r="B123" s="200" t="s">
        <v>307</v>
      </c>
      <c r="C123" s="200"/>
      <c r="D123" s="198">
        <f>NPV(D98,E122:N122)</f>
        <v>2333952.4779212</v>
      </c>
    </row>
    <row r="125" spans="2:14">
      <c r="B125" s="188" t="str">
        <f>B$88&amp;" "&amp;B4</f>
        <v>Valor Económico Agregado Escenario Propuesto</v>
      </c>
      <c r="E125" s="193">
        <f t="shared" ref="E125:N125" si="44">E45</f>
        <v>-1165327.1970403208</v>
      </c>
      <c r="F125" s="193">
        <f t="shared" si="44"/>
        <v>-1103900.8157573966</v>
      </c>
      <c r="G125" s="193">
        <f t="shared" si="44"/>
        <v>-1038185.5455040762</v>
      </c>
      <c r="H125" s="193">
        <f t="shared" si="44"/>
        <v>-1028043.0910758238</v>
      </c>
      <c r="I125" s="193">
        <f t="shared" si="44"/>
        <v>-916984.88725418027</v>
      </c>
      <c r="J125" s="193">
        <f t="shared" si="44"/>
        <v>-861577.09442953067</v>
      </c>
      <c r="K125" s="193">
        <f t="shared" si="44"/>
        <v>-797029.80834050558</v>
      </c>
      <c r="L125" s="193">
        <f t="shared" si="44"/>
        <v>-798647.0457320459</v>
      </c>
      <c r="M125" s="193">
        <f t="shared" si="44"/>
        <v>-678990.81099328119</v>
      </c>
      <c r="N125" s="193">
        <f t="shared" si="44"/>
        <v>-628089.5153800979</v>
      </c>
    </row>
    <row r="126" spans="2:14">
      <c r="B126" s="246" t="str">
        <f>B$88&amp;" "&amp;B50</f>
        <v>Valor Económico Agregado Escenario Actual</v>
      </c>
      <c r="C126" s="246"/>
      <c r="D126" s="246"/>
      <c r="E126" s="247">
        <f t="shared" ref="E126:N126" si="45">E88</f>
        <v>-1013481.0665747282</v>
      </c>
      <c r="F126" s="247">
        <f t="shared" si="45"/>
        <v>-1102565.4634442662</v>
      </c>
      <c r="G126" s="247">
        <f t="shared" si="45"/>
        <v>-1185863.5957064412</v>
      </c>
      <c r="H126" s="247">
        <f t="shared" si="45"/>
        <v>-1554988.8790728964</v>
      </c>
      <c r="I126" s="247">
        <f t="shared" si="45"/>
        <v>-1609140.7765915368</v>
      </c>
      <c r="J126" s="247">
        <f t="shared" si="45"/>
        <v>-1675773.1918490059</v>
      </c>
      <c r="K126" s="247">
        <f t="shared" si="45"/>
        <v>-1920958.263643279</v>
      </c>
      <c r="L126" s="247">
        <f t="shared" si="45"/>
        <v>-1995910.0133645772</v>
      </c>
      <c r="M126" s="247">
        <f t="shared" si="45"/>
        <v>-2082645.2977266645</v>
      </c>
      <c r="N126" s="247">
        <f t="shared" si="45"/>
        <v>-2376940.2427209332</v>
      </c>
    </row>
    <row r="127" spans="2:14">
      <c r="B127" s="204" t="s">
        <v>319</v>
      </c>
      <c r="C127" s="204"/>
      <c r="D127" s="204"/>
      <c r="E127" s="205">
        <f t="shared" ref="E127:N127" si="46">E125-E126</f>
        <v>-151846.13046559261</v>
      </c>
      <c r="F127" s="205">
        <f t="shared" si="46"/>
        <v>-1335.3523131303955</v>
      </c>
      <c r="G127" s="205">
        <f t="shared" si="46"/>
        <v>147678.05020236503</v>
      </c>
      <c r="H127" s="205">
        <f t="shared" si="46"/>
        <v>526945.78799707268</v>
      </c>
      <c r="I127" s="205">
        <f t="shared" si="46"/>
        <v>692155.88933735655</v>
      </c>
      <c r="J127" s="205">
        <f t="shared" si="46"/>
        <v>814196.09741947521</v>
      </c>
      <c r="K127" s="205">
        <f t="shared" si="46"/>
        <v>1123928.4553027735</v>
      </c>
      <c r="L127" s="205">
        <f t="shared" si="46"/>
        <v>1197262.9676325312</v>
      </c>
      <c r="M127" s="205">
        <f t="shared" si="46"/>
        <v>1403654.4867333833</v>
      </c>
      <c r="N127" s="205">
        <f t="shared" si="46"/>
        <v>1748850.7273408351</v>
      </c>
    </row>
    <row r="128" spans="2:14">
      <c r="B128" s="200" t="s">
        <v>307</v>
      </c>
      <c r="C128" s="200"/>
      <c r="D128" s="198">
        <f>NPV(D98,E127:N127)</f>
        <v>2333952.4779212</v>
      </c>
    </row>
    <row r="129" spans="2:14"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</row>
    <row r="130" spans="2:14"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</row>
    <row r="131" spans="2:14">
      <c r="D131" s="196"/>
      <c r="E131" s="196"/>
    </row>
    <row r="133" spans="2:14">
      <c r="B133" s="188" t="s">
        <v>320</v>
      </c>
      <c r="D133" s="188">
        <v>0</v>
      </c>
      <c r="E133" s="193">
        <v>280000</v>
      </c>
      <c r="F133" s="193">
        <v>280000</v>
      </c>
      <c r="G133" s="193">
        <v>280000</v>
      </c>
      <c r="H133" s="193">
        <v>285600</v>
      </c>
      <c r="I133" s="193">
        <v>291312</v>
      </c>
      <c r="J133" s="193">
        <v>297138.24</v>
      </c>
      <c r="K133" s="193">
        <v>303081.0048</v>
      </c>
      <c r="L133" s="193">
        <v>309142.62489600002</v>
      </c>
      <c r="M133" s="193">
        <v>315325.47739392001</v>
      </c>
      <c r="N133" s="193">
        <v>321631.98694179801</v>
      </c>
    </row>
    <row r="134" spans="2:14">
      <c r="B134" s="188" t="s">
        <v>321</v>
      </c>
      <c r="D134" s="196">
        <v>0</v>
      </c>
      <c r="E134" s="193">
        <v>-440433.256631914</v>
      </c>
      <c r="F134" s="193">
        <v>-440433.256631914</v>
      </c>
      <c r="G134" s="193">
        <v>-440433.256631914</v>
      </c>
      <c r="H134" s="193">
        <v>-434833.256631914</v>
      </c>
      <c r="I134" s="193">
        <v>-429121.256631914</v>
      </c>
      <c r="J134" s="193">
        <v>-423295.01663191401</v>
      </c>
      <c r="K134" s="193">
        <v>-417352.25183191401</v>
      </c>
      <c r="L134" s="193">
        <v>-411290.63173591398</v>
      </c>
      <c r="M134" s="193">
        <v>-405107.77923799399</v>
      </c>
      <c r="N134" s="193">
        <v>-398801.26969011599</v>
      </c>
    </row>
    <row r="135" spans="2:14">
      <c r="B135" s="188" t="s">
        <v>322</v>
      </c>
      <c r="D135" s="196"/>
      <c r="E135" s="193">
        <f t="shared" ref="E135:N135" si="47">E133-E134</f>
        <v>720433.25663191406</v>
      </c>
      <c r="F135" s="193">
        <f t="shared" si="47"/>
        <v>720433.25663191406</v>
      </c>
      <c r="G135" s="193">
        <f t="shared" si="47"/>
        <v>720433.25663191406</v>
      </c>
      <c r="H135" s="193">
        <f t="shared" si="47"/>
        <v>720433.25663191406</v>
      </c>
      <c r="I135" s="193">
        <f t="shared" si="47"/>
        <v>720433.25663191406</v>
      </c>
      <c r="J135" s="193">
        <f t="shared" si="47"/>
        <v>720433.25663191406</v>
      </c>
      <c r="K135" s="193">
        <f t="shared" si="47"/>
        <v>720433.25663191406</v>
      </c>
      <c r="L135" s="193">
        <f t="shared" si="47"/>
        <v>720433.25663191406</v>
      </c>
      <c r="M135" s="193">
        <f t="shared" si="47"/>
        <v>720433.25663191406</v>
      </c>
      <c r="N135" s="193">
        <f t="shared" si="47"/>
        <v>720433.25663191406</v>
      </c>
    </row>
    <row r="136" spans="2:14"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2:14">
      <c r="B137" s="188" t="s">
        <v>323</v>
      </c>
      <c r="D137" s="193">
        <v>1892128.9361857299</v>
      </c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</row>
    <row r="138" spans="2:14">
      <c r="B138" s="188" t="s">
        <v>324</v>
      </c>
      <c r="D138" s="196">
        <v>1229883.8085207299</v>
      </c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</row>
    <row r="139" spans="2:14">
      <c r="B139" s="188" t="s">
        <v>325</v>
      </c>
      <c r="D139" s="193">
        <f>D137-D138</f>
        <v>662245.12766500004</v>
      </c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</row>
    <row r="140" spans="2:14"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</row>
    <row r="141" spans="2:14"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</row>
    <row r="143" spans="2:14">
      <c r="D143" s="196"/>
    </row>
  </sheetData>
  <mergeCells count="1">
    <mergeCell ref="D2:G2"/>
  </mergeCells>
  <pageMargins left="0.7" right="0.7" top="0.75" bottom="0.75" header="0.51180555555555496" footer="0.51180555555555496"/>
  <pageSetup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9"/>
  <sheetViews>
    <sheetView zoomScaleNormal="100" zoomScalePageLayoutView="60" workbookViewId="0"/>
  </sheetViews>
  <sheetFormatPr baseColWidth="10" defaultColWidth="11.5703125" defaultRowHeight="15"/>
  <cols>
    <col min="1" max="1" width="2.140625" style="188" customWidth="1"/>
    <col min="2" max="2" width="30.5703125" style="188" customWidth="1"/>
    <col min="3" max="3" width="8" style="188" customWidth="1"/>
    <col min="4" max="13" width="6.140625" style="188" customWidth="1"/>
    <col min="14" max="23" width="4.7109375" style="188" customWidth="1"/>
    <col min="24" max="27" width="7" style="188" customWidth="1"/>
    <col min="28" max="1024" width="11.5703125" style="188"/>
  </cols>
  <sheetData>
    <row r="1" spans="1:24" ht="16.5">
      <c r="A1" s="249">
        <v>1</v>
      </c>
      <c r="B1" s="250" t="s">
        <v>326</v>
      </c>
      <c r="C1" s="251">
        <v>2022</v>
      </c>
      <c r="D1" s="212">
        <f t="shared" ref="D1:W1" si="0">C1+1</f>
        <v>2023</v>
      </c>
      <c r="E1" s="212">
        <f t="shared" si="0"/>
        <v>2024</v>
      </c>
      <c r="F1" s="212">
        <f t="shared" si="0"/>
        <v>2025</v>
      </c>
      <c r="G1" s="212">
        <f t="shared" si="0"/>
        <v>2026</v>
      </c>
      <c r="H1" s="212">
        <f t="shared" si="0"/>
        <v>2027</v>
      </c>
      <c r="I1" s="212">
        <f t="shared" si="0"/>
        <v>2028</v>
      </c>
      <c r="J1" s="212">
        <f t="shared" si="0"/>
        <v>2029</v>
      </c>
      <c r="K1" s="212">
        <f t="shared" si="0"/>
        <v>2030</v>
      </c>
      <c r="L1" s="212">
        <f t="shared" si="0"/>
        <v>2031</v>
      </c>
      <c r="M1" s="212">
        <f t="shared" si="0"/>
        <v>2032</v>
      </c>
      <c r="N1" s="212">
        <f t="shared" si="0"/>
        <v>2033</v>
      </c>
      <c r="O1" s="212">
        <f t="shared" si="0"/>
        <v>2034</v>
      </c>
      <c r="P1" s="212">
        <f t="shared" si="0"/>
        <v>2035</v>
      </c>
      <c r="Q1" s="212">
        <f t="shared" si="0"/>
        <v>2036</v>
      </c>
      <c r="R1" s="212">
        <f t="shared" si="0"/>
        <v>2037</v>
      </c>
      <c r="S1" s="212">
        <f t="shared" si="0"/>
        <v>2038</v>
      </c>
      <c r="T1" s="212">
        <f t="shared" si="0"/>
        <v>2039</v>
      </c>
      <c r="U1" s="212">
        <f t="shared" si="0"/>
        <v>2040</v>
      </c>
      <c r="V1" s="212">
        <f t="shared" si="0"/>
        <v>2041</v>
      </c>
      <c r="W1" s="212">
        <f t="shared" si="0"/>
        <v>2042</v>
      </c>
    </row>
    <row r="2" spans="1:24">
      <c r="A2" s="249">
        <f t="shared" ref="A2:A12" si="1">A1+1</f>
        <v>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4" ht="15.75">
      <c r="A3" s="249">
        <f t="shared" si="1"/>
        <v>3</v>
      </c>
      <c r="B3" s="166" t="s">
        <v>327</v>
      </c>
      <c r="C3" s="252">
        <v>0.13120000000000001</v>
      </c>
      <c r="D3" s="191">
        <v>0.11700000000000001</v>
      </c>
      <c r="E3" s="191">
        <v>7.0000000000000007E-2</v>
      </c>
      <c r="F3" s="191">
        <v>0.05</v>
      </c>
      <c r="G3" s="191">
        <v>0.04</v>
      </c>
      <c r="H3" s="191">
        <f t="shared" ref="H3:W3" si="2">G3</f>
        <v>0.04</v>
      </c>
      <c r="I3" s="191">
        <f t="shared" si="2"/>
        <v>0.04</v>
      </c>
      <c r="J3" s="191">
        <f t="shared" si="2"/>
        <v>0.04</v>
      </c>
      <c r="K3" s="191">
        <f t="shared" si="2"/>
        <v>0.04</v>
      </c>
      <c r="L3" s="191">
        <f t="shared" si="2"/>
        <v>0.04</v>
      </c>
      <c r="M3" s="191">
        <f t="shared" si="2"/>
        <v>0.04</v>
      </c>
      <c r="N3" s="191">
        <f t="shared" si="2"/>
        <v>0.04</v>
      </c>
      <c r="O3" s="191">
        <f t="shared" si="2"/>
        <v>0.04</v>
      </c>
      <c r="P3" s="191">
        <f t="shared" si="2"/>
        <v>0.04</v>
      </c>
      <c r="Q3" s="191">
        <f t="shared" si="2"/>
        <v>0.04</v>
      </c>
      <c r="R3" s="191">
        <f t="shared" si="2"/>
        <v>0.04</v>
      </c>
      <c r="S3" s="191">
        <f t="shared" si="2"/>
        <v>0.04</v>
      </c>
      <c r="T3" s="191">
        <f t="shared" si="2"/>
        <v>0.04</v>
      </c>
      <c r="U3" s="191">
        <f t="shared" si="2"/>
        <v>0.04</v>
      </c>
      <c r="V3" s="191">
        <f t="shared" si="2"/>
        <v>0.04</v>
      </c>
      <c r="W3" s="191">
        <f t="shared" si="2"/>
        <v>0.04</v>
      </c>
    </row>
    <row r="4" spans="1:24" ht="15.75">
      <c r="A4" s="249">
        <f t="shared" si="1"/>
        <v>4</v>
      </c>
      <c r="B4" s="166" t="s">
        <v>328</v>
      </c>
      <c r="C4" s="252">
        <v>6.5000000000000002E-2</v>
      </c>
      <c r="D4" s="191">
        <v>3.4000000000000002E-2</v>
      </c>
      <c r="E4" s="191">
        <v>2.5000000000000001E-2</v>
      </c>
      <c r="F4" s="191">
        <f t="shared" ref="F4:G6" si="3">E4</f>
        <v>2.5000000000000001E-2</v>
      </c>
      <c r="G4" s="191">
        <f t="shared" si="3"/>
        <v>2.5000000000000001E-2</v>
      </c>
      <c r="H4" s="191">
        <f t="shared" ref="H4:W4" si="4">G4</f>
        <v>2.5000000000000001E-2</v>
      </c>
      <c r="I4" s="191">
        <f t="shared" si="4"/>
        <v>2.5000000000000001E-2</v>
      </c>
      <c r="J4" s="191">
        <f t="shared" si="4"/>
        <v>2.5000000000000001E-2</v>
      </c>
      <c r="K4" s="191">
        <f t="shared" si="4"/>
        <v>2.5000000000000001E-2</v>
      </c>
      <c r="L4" s="191">
        <f t="shared" si="4"/>
        <v>2.5000000000000001E-2</v>
      </c>
      <c r="M4" s="191">
        <f t="shared" si="4"/>
        <v>2.5000000000000001E-2</v>
      </c>
      <c r="N4" s="191">
        <f t="shared" si="4"/>
        <v>2.5000000000000001E-2</v>
      </c>
      <c r="O4" s="191">
        <f t="shared" si="4"/>
        <v>2.5000000000000001E-2</v>
      </c>
      <c r="P4" s="191">
        <f t="shared" si="4"/>
        <v>2.5000000000000001E-2</v>
      </c>
      <c r="Q4" s="191">
        <f t="shared" si="4"/>
        <v>2.5000000000000001E-2</v>
      </c>
      <c r="R4" s="191">
        <f t="shared" si="4"/>
        <v>2.5000000000000001E-2</v>
      </c>
      <c r="S4" s="191">
        <f t="shared" si="4"/>
        <v>2.5000000000000001E-2</v>
      </c>
      <c r="T4" s="191">
        <f t="shared" si="4"/>
        <v>2.5000000000000001E-2</v>
      </c>
      <c r="U4" s="191">
        <f t="shared" si="4"/>
        <v>2.5000000000000001E-2</v>
      </c>
      <c r="V4" s="191">
        <f t="shared" si="4"/>
        <v>2.5000000000000001E-2</v>
      </c>
      <c r="W4" s="191">
        <f t="shared" si="4"/>
        <v>2.5000000000000001E-2</v>
      </c>
    </row>
    <row r="5" spans="1:24" ht="15.75">
      <c r="A5" s="249">
        <f t="shared" si="1"/>
        <v>5</v>
      </c>
      <c r="B5" s="166" t="s">
        <v>329</v>
      </c>
      <c r="C5" s="252">
        <v>0.2049</v>
      </c>
      <c r="D5" s="191">
        <v>0.13170000000000001</v>
      </c>
      <c r="E5" s="191">
        <v>2.7E-2</v>
      </c>
      <c r="F5" s="191">
        <f t="shared" si="3"/>
        <v>2.7E-2</v>
      </c>
      <c r="G5" s="191">
        <f t="shared" si="3"/>
        <v>2.7E-2</v>
      </c>
      <c r="H5" s="191">
        <f t="shared" ref="H5:W5" si="5">G5</f>
        <v>2.7E-2</v>
      </c>
      <c r="I5" s="191">
        <f t="shared" si="5"/>
        <v>2.7E-2</v>
      </c>
      <c r="J5" s="191">
        <f t="shared" si="5"/>
        <v>2.7E-2</v>
      </c>
      <c r="K5" s="191">
        <f t="shared" si="5"/>
        <v>2.7E-2</v>
      </c>
      <c r="L5" s="191">
        <f t="shared" si="5"/>
        <v>2.7E-2</v>
      </c>
      <c r="M5" s="191">
        <f t="shared" si="5"/>
        <v>2.7E-2</v>
      </c>
      <c r="N5" s="191">
        <f t="shared" si="5"/>
        <v>2.7E-2</v>
      </c>
      <c r="O5" s="191">
        <f t="shared" si="5"/>
        <v>2.7E-2</v>
      </c>
      <c r="P5" s="191">
        <f t="shared" si="5"/>
        <v>2.7E-2</v>
      </c>
      <c r="Q5" s="191">
        <f t="shared" si="5"/>
        <v>2.7E-2</v>
      </c>
      <c r="R5" s="191">
        <f t="shared" si="5"/>
        <v>2.7E-2</v>
      </c>
      <c r="S5" s="191">
        <f t="shared" si="5"/>
        <v>2.7E-2</v>
      </c>
      <c r="T5" s="191">
        <f t="shared" si="5"/>
        <v>2.7E-2</v>
      </c>
      <c r="U5" s="191">
        <f t="shared" si="5"/>
        <v>2.7E-2</v>
      </c>
      <c r="V5" s="191">
        <f t="shared" si="5"/>
        <v>2.7E-2</v>
      </c>
      <c r="W5" s="191">
        <f t="shared" si="5"/>
        <v>2.7E-2</v>
      </c>
    </row>
    <row r="6" spans="1:24">
      <c r="A6" s="249">
        <f t="shared" si="1"/>
        <v>6</v>
      </c>
      <c r="B6" s="166" t="s">
        <v>330</v>
      </c>
      <c r="C6" s="253">
        <v>7.4999999999999997E-2</v>
      </c>
      <c r="D6" s="191">
        <v>7.0000000000000001E-3</v>
      </c>
      <c r="E6" s="191">
        <v>1.7999999999999999E-2</v>
      </c>
      <c r="F6" s="191">
        <f t="shared" si="3"/>
        <v>1.7999999999999999E-2</v>
      </c>
      <c r="G6" s="191">
        <f t="shared" si="3"/>
        <v>1.7999999999999999E-2</v>
      </c>
      <c r="H6" s="191">
        <f t="shared" ref="H6:W6" si="6">G6</f>
        <v>1.7999999999999999E-2</v>
      </c>
      <c r="I6" s="191">
        <f t="shared" si="6"/>
        <v>1.7999999999999999E-2</v>
      </c>
      <c r="J6" s="191">
        <f t="shared" si="6"/>
        <v>1.7999999999999999E-2</v>
      </c>
      <c r="K6" s="191">
        <f t="shared" si="6"/>
        <v>1.7999999999999999E-2</v>
      </c>
      <c r="L6" s="191">
        <f t="shared" si="6"/>
        <v>1.7999999999999999E-2</v>
      </c>
      <c r="M6" s="191">
        <f t="shared" si="6"/>
        <v>1.7999999999999999E-2</v>
      </c>
      <c r="N6" s="191">
        <f t="shared" si="6"/>
        <v>1.7999999999999999E-2</v>
      </c>
      <c r="O6" s="191">
        <f t="shared" si="6"/>
        <v>1.7999999999999999E-2</v>
      </c>
      <c r="P6" s="191">
        <f t="shared" si="6"/>
        <v>1.7999999999999999E-2</v>
      </c>
      <c r="Q6" s="191">
        <f t="shared" si="6"/>
        <v>1.7999999999999999E-2</v>
      </c>
      <c r="R6" s="191">
        <f t="shared" si="6"/>
        <v>1.7999999999999999E-2</v>
      </c>
      <c r="S6" s="191">
        <f t="shared" si="6"/>
        <v>1.7999999999999999E-2</v>
      </c>
      <c r="T6" s="191">
        <f t="shared" si="6"/>
        <v>1.7999999999999999E-2</v>
      </c>
      <c r="U6" s="191">
        <f t="shared" si="6"/>
        <v>1.7999999999999999E-2</v>
      </c>
      <c r="V6" s="191">
        <f t="shared" si="6"/>
        <v>1.7999999999999999E-2</v>
      </c>
      <c r="W6" s="191">
        <f t="shared" si="6"/>
        <v>1.7999999999999999E-2</v>
      </c>
    </row>
    <row r="7" spans="1:24">
      <c r="A7" s="249">
        <f t="shared" si="1"/>
        <v>7</v>
      </c>
      <c r="B7" s="166" t="s">
        <v>331</v>
      </c>
      <c r="C7" s="254">
        <v>4808</v>
      </c>
      <c r="D7" s="255">
        <f t="shared" ref="D7:W7" si="7">C7*(1+D11)</f>
        <v>4327.2</v>
      </c>
      <c r="E7" s="255">
        <f t="shared" si="7"/>
        <v>4240.6559999999999</v>
      </c>
      <c r="F7" s="255">
        <f t="shared" si="7"/>
        <v>4291.5438720000002</v>
      </c>
      <c r="G7" s="255">
        <f t="shared" si="7"/>
        <v>4463.2056268800006</v>
      </c>
      <c r="H7" s="255">
        <f t="shared" si="7"/>
        <v>4570.3225619251207</v>
      </c>
      <c r="I7" s="255">
        <f t="shared" si="7"/>
        <v>4680.0103034113235</v>
      </c>
      <c r="J7" s="255">
        <f t="shared" si="7"/>
        <v>4792.3305506931956</v>
      </c>
      <c r="K7" s="255">
        <f t="shared" si="7"/>
        <v>4907.3464839098324</v>
      </c>
      <c r="L7" s="255">
        <f t="shared" si="7"/>
        <v>5025.1227995236686</v>
      </c>
      <c r="M7" s="255">
        <f t="shared" si="7"/>
        <v>5145.7257467122372</v>
      </c>
      <c r="N7" s="255">
        <f t="shared" si="7"/>
        <v>5269.2231646333312</v>
      </c>
      <c r="O7" s="255">
        <f t="shared" si="7"/>
        <v>5395.6845205845311</v>
      </c>
      <c r="P7" s="255">
        <f t="shared" si="7"/>
        <v>5525.1809490785599</v>
      </c>
      <c r="Q7" s="255">
        <f t="shared" si="7"/>
        <v>5657.7852918564458</v>
      </c>
      <c r="R7" s="255">
        <f t="shared" si="7"/>
        <v>5793.5721388610009</v>
      </c>
      <c r="S7" s="255">
        <f t="shared" si="7"/>
        <v>5932.6178701936651</v>
      </c>
      <c r="T7" s="255">
        <f t="shared" si="7"/>
        <v>6075.0006990783131</v>
      </c>
      <c r="U7" s="255">
        <f t="shared" si="7"/>
        <v>6220.8007158561932</v>
      </c>
      <c r="V7" s="255">
        <f t="shared" si="7"/>
        <v>6370.0999330367422</v>
      </c>
      <c r="W7" s="255">
        <f t="shared" si="7"/>
        <v>6522.9823314296245</v>
      </c>
    </row>
    <row r="8" spans="1:24">
      <c r="A8" s="249">
        <f t="shared" si="1"/>
        <v>8</v>
      </c>
      <c r="B8" s="166" t="s">
        <v>332</v>
      </c>
      <c r="C8" s="254">
        <v>4254</v>
      </c>
      <c r="D8" s="255">
        <f t="shared" ref="D8:W8" si="8">AVERAGE(C7:D7)</f>
        <v>4567.6000000000004</v>
      </c>
      <c r="E8" s="255">
        <f t="shared" si="8"/>
        <v>4283.9279999999999</v>
      </c>
      <c r="F8" s="255">
        <f t="shared" si="8"/>
        <v>4266.0999360000005</v>
      </c>
      <c r="G8" s="255">
        <f t="shared" si="8"/>
        <v>4377.3747494400004</v>
      </c>
      <c r="H8" s="255">
        <f t="shared" si="8"/>
        <v>4516.7640944025607</v>
      </c>
      <c r="I8" s="255">
        <f t="shared" si="8"/>
        <v>4625.1664326682221</v>
      </c>
      <c r="J8" s="255">
        <f t="shared" si="8"/>
        <v>4736.1704270522596</v>
      </c>
      <c r="K8" s="255">
        <f t="shared" si="8"/>
        <v>4849.838517301514</v>
      </c>
      <c r="L8" s="255">
        <f t="shared" si="8"/>
        <v>4966.23464171675</v>
      </c>
      <c r="M8" s="255">
        <f t="shared" si="8"/>
        <v>5085.4242731179529</v>
      </c>
      <c r="N8" s="255">
        <f t="shared" si="8"/>
        <v>5207.4744556727837</v>
      </c>
      <c r="O8" s="255">
        <f t="shared" si="8"/>
        <v>5332.4538426089312</v>
      </c>
      <c r="P8" s="255">
        <f t="shared" si="8"/>
        <v>5460.4327348315455</v>
      </c>
      <c r="Q8" s="255">
        <f t="shared" si="8"/>
        <v>5591.4831204675029</v>
      </c>
      <c r="R8" s="255">
        <f t="shared" si="8"/>
        <v>5725.6787153587229</v>
      </c>
      <c r="S8" s="255">
        <f t="shared" si="8"/>
        <v>5863.095004527333</v>
      </c>
      <c r="T8" s="255">
        <f t="shared" si="8"/>
        <v>6003.8092846359887</v>
      </c>
      <c r="U8" s="255">
        <f t="shared" si="8"/>
        <v>6147.9007074672536</v>
      </c>
      <c r="V8" s="255">
        <f t="shared" si="8"/>
        <v>6295.4503244464677</v>
      </c>
      <c r="W8" s="255">
        <f t="shared" si="8"/>
        <v>6446.5411322331838</v>
      </c>
    </row>
    <row r="9" spans="1:24">
      <c r="A9" s="249">
        <f t="shared" si="1"/>
        <v>9</v>
      </c>
      <c r="B9" s="166" t="s">
        <v>333</v>
      </c>
      <c r="C9" s="252">
        <v>0.123</v>
      </c>
      <c r="D9" s="191">
        <v>0.13120000000000001</v>
      </c>
      <c r="E9" s="191">
        <v>0.10440000000000001</v>
      </c>
      <c r="F9" s="191">
        <v>7.0199999999999999E-2</v>
      </c>
      <c r="G9" s="191">
        <v>6.2199999999999998E-2</v>
      </c>
      <c r="H9" s="191">
        <v>6.13E-2</v>
      </c>
      <c r="I9" s="191">
        <f t="shared" ref="I9:W9" si="9">H9</f>
        <v>6.13E-2</v>
      </c>
      <c r="J9" s="191">
        <f t="shared" si="9"/>
        <v>6.13E-2</v>
      </c>
      <c r="K9" s="191">
        <f t="shared" si="9"/>
        <v>6.13E-2</v>
      </c>
      <c r="L9" s="191">
        <f t="shared" si="9"/>
        <v>6.13E-2</v>
      </c>
      <c r="M9" s="191">
        <f t="shared" si="9"/>
        <v>6.13E-2</v>
      </c>
      <c r="N9" s="191">
        <f t="shared" si="9"/>
        <v>6.13E-2</v>
      </c>
      <c r="O9" s="191">
        <f t="shared" si="9"/>
        <v>6.13E-2</v>
      </c>
      <c r="P9" s="191">
        <f t="shared" si="9"/>
        <v>6.13E-2</v>
      </c>
      <c r="Q9" s="191">
        <f t="shared" si="9"/>
        <v>6.13E-2</v>
      </c>
      <c r="R9" s="191">
        <f t="shared" si="9"/>
        <v>6.13E-2</v>
      </c>
      <c r="S9" s="191">
        <f t="shared" si="9"/>
        <v>6.13E-2</v>
      </c>
      <c r="T9" s="191">
        <f t="shared" si="9"/>
        <v>6.13E-2</v>
      </c>
      <c r="U9" s="191">
        <f t="shared" si="9"/>
        <v>6.13E-2</v>
      </c>
      <c r="V9" s="191">
        <f t="shared" si="9"/>
        <v>6.13E-2</v>
      </c>
      <c r="W9" s="191">
        <f t="shared" si="9"/>
        <v>6.13E-2</v>
      </c>
    </row>
    <row r="10" spans="1:24">
      <c r="A10" s="249">
        <f t="shared" si="1"/>
        <v>10</v>
      </c>
      <c r="B10" s="166" t="s">
        <v>334</v>
      </c>
      <c r="C10" s="252">
        <v>2.0299999999999999E-2</v>
      </c>
      <c r="D10" s="191">
        <v>7.4999999999999997E-3</v>
      </c>
      <c r="E10" s="191">
        <v>1.12E-2</v>
      </c>
      <c r="F10" s="191">
        <v>1.47E-2</v>
      </c>
      <c r="G10" s="191">
        <v>1.9400000000000001E-2</v>
      </c>
      <c r="H10" s="191">
        <f>G10</f>
        <v>1.9400000000000001E-2</v>
      </c>
      <c r="I10" s="191">
        <f t="shared" ref="I10:W10" si="10">H10</f>
        <v>1.9400000000000001E-2</v>
      </c>
      <c r="J10" s="191">
        <f t="shared" si="10"/>
        <v>1.9400000000000001E-2</v>
      </c>
      <c r="K10" s="191">
        <f t="shared" si="10"/>
        <v>1.9400000000000001E-2</v>
      </c>
      <c r="L10" s="191">
        <f t="shared" si="10"/>
        <v>1.9400000000000001E-2</v>
      </c>
      <c r="M10" s="191">
        <f t="shared" si="10"/>
        <v>1.9400000000000001E-2</v>
      </c>
      <c r="N10" s="191">
        <f t="shared" si="10"/>
        <v>1.9400000000000001E-2</v>
      </c>
      <c r="O10" s="191">
        <f t="shared" si="10"/>
        <v>1.9400000000000001E-2</v>
      </c>
      <c r="P10" s="191">
        <f t="shared" si="10"/>
        <v>1.9400000000000001E-2</v>
      </c>
      <c r="Q10" s="191">
        <f t="shared" si="10"/>
        <v>1.9400000000000001E-2</v>
      </c>
      <c r="R10" s="191">
        <f t="shared" si="10"/>
        <v>1.9400000000000001E-2</v>
      </c>
      <c r="S10" s="191">
        <f t="shared" si="10"/>
        <v>1.9400000000000001E-2</v>
      </c>
      <c r="T10" s="191">
        <f t="shared" si="10"/>
        <v>1.9400000000000001E-2</v>
      </c>
      <c r="U10" s="191">
        <f t="shared" si="10"/>
        <v>1.9400000000000001E-2</v>
      </c>
      <c r="V10" s="191">
        <f t="shared" si="10"/>
        <v>1.9400000000000001E-2</v>
      </c>
      <c r="W10" s="191">
        <f t="shared" si="10"/>
        <v>1.9400000000000001E-2</v>
      </c>
    </row>
    <row r="11" spans="1:24">
      <c r="A11" s="249">
        <f t="shared" si="1"/>
        <v>11</v>
      </c>
      <c r="B11" s="166" t="s">
        <v>335</v>
      </c>
      <c r="C11" s="252">
        <v>0.2321</v>
      </c>
      <c r="D11" s="191">
        <v>-0.1</v>
      </c>
      <c r="E11" s="191">
        <v>-0.02</v>
      </c>
      <c r="F11" s="191">
        <v>1.2E-2</v>
      </c>
      <c r="G11" s="191">
        <v>0.04</v>
      </c>
      <c r="H11" s="191">
        <v>2.4E-2</v>
      </c>
      <c r="I11" s="191">
        <f t="shared" ref="I11:W11" si="11">H11</f>
        <v>2.4E-2</v>
      </c>
      <c r="J11" s="191">
        <f t="shared" si="11"/>
        <v>2.4E-2</v>
      </c>
      <c r="K11" s="191">
        <f t="shared" si="11"/>
        <v>2.4E-2</v>
      </c>
      <c r="L11" s="191">
        <f t="shared" si="11"/>
        <v>2.4E-2</v>
      </c>
      <c r="M11" s="191">
        <f t="shared" si="11"/>
        <v>2.4E-2</v>
      </c>
      <c r="N11" s="191">
        <f t="shared" si="11"/>
        <v>2.4E-2</v>
      </c>
      <c r="O11" s="191">
        <f t="shared" si="11"/>
        <v>2.4E-2</v>
      </c>
      <c r="P11" s="191">
        <f t="shared" si="11"/>
        <v>2.4E-2</v>
      </c>
      <c r="Q11" s="191">
        <f t="shared" si="11"/>
        <v>2.4E-2</v>
      </c>
      <c r="R11" s="191">
        <f t="shared" si="11"/>
        <v>2.4E-2</v>
      </c>
      <c r="S11" s="191">
        <f t="shared" si="11"/>
        <v>2.4E-2</v>
      </c>
      <c r="T11" s="191">
        <f t="shared" si="11"/>
        <v>2.4E-2</v>
      </c>
      <c r="U11" s="191">
        <f t="shared" si="11"/>
        <v>2.4E-2</v>
      </c>
      <c r="V11" s="191">
        <f t="shared" si="11"/>
        <v>2.4E-2</v>
      </c>
      <c r="W11" s="191">
        <f t="shared" si="11"/>
        <v>2.4E-2</v>
      </c>
    </row>
    <row r="12" spans="1:24">
      <c r="A12" s="249">
        <f t="shared" si="1"/>
        <v>12</v>
      </c>
      <c r="B12" s="166" t="s">
        <v>336</v>
      </c>
      <c r="C12" s="252">
        <v>0.1007</v>
      </c>
      <c r="D12" s="191">
        <v>0.16</v>
      </c>
      <c r="E12" s="191">
        <v>0.13</v>
      </c>
      <c r="F12" s="191">
        <v>0.08</v>
      </c>
      <c r="G12" s="191">
        <v>0.06</v>
      </c>
      <c r="H12" s="191">
        <f>G12</f>
        <v>0.06</v>
      </c>
      <c r="I12" s="191">
        <f t="shared" ref="I12:W12" si="12">H12</f>
        <v>0.06</v>
      </c>
      <c r="J12" s="191">
        <f t="shared" si="12"/>
        <v>0.06</v>
      </c>
      <c r="K12" s="191">
        <f t="shared" si="12"/>
        <v>0.06</v>
      </c>
      <c r="L12" s="191">
        <f t="shared" si="12"/>
        <v>0.06</v>
      </c>
      <c r="M12" s="191">
        <f t="shared" si="12"/>
        <v>0.06</v>
      </c>
      <c r="N12" s="191">
        <f t="shared" si="12"/>
        <v>0.06</v>
      </c>
      <c r="O12" s="191">
        <f t="shared" si="12"/>
        <v>0.06</v>
      </c>
      <c r="P12" s="191">
        <f t="shared" si="12"/>
        <v>0.06</v>
      </c>
      <c r="Q12" s="191">
        <f t="shared" si="12"/>
        <v>0.06</v>
      </c>
      <c r="R12" s="191">
        <f t="shared" si="12"/>
        <v>0.06</v>
      </c>
      <c r="S12" s="191">
        <f t="shared" si="12"/>
        <v>0.06</v>
      </c>
      <c r="T12" s="191">
        <f t="shared" si="12"/>
        <v>0.06</v>
      </c>
      <c r="U12" s="191">
        <f t="shared" si="12"/>
        <v>0.06</v>
      </c>
      <c r="V12" s="191">
        <f t="shared" si="12"/>
        <v>0.06</v>
      </c>
      <c r="W12" s="191">
        <f t="shared" si="12"/>
        <v>0.06</v>
      </c>
    </row>
    <row r="13" spans="1:24">
      <c r="A13" s="249"/>
      <c r="B13" s="212" t="s">
        <v>337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</row>
    <row r="14" spans="1:24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</row>
    <row r="15" spans="1:24">
      <c r="A15" s="166"/>
      <c r="B15" s="166"/>
      <c r="C15" s="212">
        <f>Ppto!D9</f>
        <v>0</v>
      </c>
      <c r="D15" s="212">
        <f>Ppto!E9</f>
        <v>1</v>
      </c>
      <c r="E15" s="212">
        <f>Ppto!F9</f>
        <v>2</v>
      </c>
      <c r="F15" s="212">
        <f>Ppto!G9</f>
        <v>3</v>
      </c>
      <c r="G15" s="212">
        <f>Ppto!H9</f>
        <v>4</v>
      </c>
      <c r="H15" s="212">
        <f>Ppto!I9</f>
        <v>5</v>
      </c>
      <c r="I15" s="212">
        <f>Ppto!J9</f>
        <v>6</v>
      </c>
      <c r="J15" s="212">
        <f>Ppto!K9</f>
        <v>7</v>
      </c>
      <c r="K15" s="212">
        <f>Ppto!L9</f>
        <v>8</v>
      </c>
      <c r="L15" s="212">
        <f>Ppto!M9</f>
        <v>9</v>
      </c>
      <c r="M15" s="212">
        <f>Ppto!N9</f>
        <v>10</v>
      </c>
      <c r="N15" s="212"/>
      <c r="O15" s="166"/>
      <c r="P15" s="166"/>
      <c r="Q15" s="166"/>
      <c r="R15" s="166"/>
      <c r="S15" s="166"/>
      <c r="T15" s="166"/>
      <c r="U15" s="166"/>
      <c r="V15" s="166"/>
      <c r="W15" s="166"/>
      <c r="X15" s="166"/>
    </row>
    <row r="16" spans="1:24" ht="16.5">
      <c r="A16" s="166"/>
      <c r="B16" s="250" t="s">
        <v>338</v>
      </c>
      <c r="C16" s="212">
        <f>Ppto!D10</f>
        <v>2023</v>
      </c>
      <c r="D16" s="212">
        <f>Ppto!E10</f>
        <v>2024</v>
      </c>
      <c r="E16" s="212">
        <f>Ppto!F10</f>
        <v>2025</v>
      </c>
      <c r="F16" s="212">
        <f>Ppto!G10</f>
        <v>2026</v>
      </c>
      <c r="G16" s="212">
        <f>Ppto!H10</f>
        <v>2027</v>
      </c>
      <c r="H16" s="212">
        <f>Ppto!I10</f>
        <v>2028</v>
      </c>
      <c r="I16" s="212">
        <f>Ppto!J10</f>
        <v>2029</v>
      </c>
      <c r="J16" s="212">
        <f>Ppto!K10</f>
        <v>2030</v>
      </c>
      <c r="K16" s="212">
        <f>Ppto!L10</f>
        <v>2031</v>
      </c>
      <c r="L16" s="212">
        <f>Ppto!M10</f>
        <v>2032</v>
      </c>
      <c r="M16" s="212">
        <f>Ppto!N10</f>
        <v>2033</v>
      </c>
      <c r="N16" s="212"/>
      <c r="O16" s="166"/>
      <c r="P16" s="166"/>
      <c r="Q16" s="166"/>
      <c r="R16" s="166"/>
      <c r="S16" s="166"/>
      <c r="T16" s="166"/>
      <c r="U16" s="166"/>
      <c r="V16" s="166"/>
      <c r="W16" s="166"/>
      <c r="X16" s="166"/>
    </row>
    <row r="17" spans="1:24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</row>
    <row r="18" spans="1:24">
      <c r="A18" s="166"/>
      <c r="B18" s="256" t="str">
        <f>B3</f>
        <v>Índice de Precios al Consumidor (IPC COP)</v>
      </c>
      <c r="C18" s="257">
        <f t="shared" ref="C18:M18" si="13">HLOOKUP(C$16,$C$1:$U$12,$A3,FALSE())</f>
        <v>0.11700000000000001</v>
      </c>
      <c r="D18" s="257">
        <f t="shared" si="13"/>
        <v>7.0000000000000007E-2</v>
      </c>
      <c r="E18" s="257">
        <f t="shared" si="13"/>
        <v>0.05</v>
      </c>
      <c r="F18" s="257">
        <f t="shared" si="13"/>
        <v>0.04</v>
      </c>
      <c r="G18" s="257">
        <f t="shared" si="13"/>
        <v>0.04</v>
      </c>
      <c r="H18" s="257">
        <f t="shared" si="13"/>
        <v>0.04</v>
      </c>
      <c r="I18" s="257">
        <f t="shared" si="13"/>
        <v>0.04</v>
      </c>
      <c r="J18" s="257">
        <f t="shared" si="13"/>
        <v>0.04</v>
      </c>
      <c r="K18" s="257">
        <f t="shared" si="13"/>
        <v>0.04</v>
      </c>
      <c r="L18" s="257">
        <f t="shared" si="13"/>
        <v>0.04</v>
      </c>
      <c r="M18" s="258">
        <f t="shared" si="13"/>
        <v>0.04</v>
      </c>
      <c r="N18" s="223"/>
      <c r="O18" s="166"/>
      <c r="P18" s="166"/>
      <c r="Q18" s="166"/>
      <c r="R18" s="166"/>
      <c r="S18" s="166"/>
      <c r="T18" s="166"/>
      <c r="U18" s="166"/>
      <c r="V18" s="166"/>
      <c r="W18" s="166"/>
      <c r="X18" s="166"/>
    </row>
    <row r="19" spans="1:24">
      <c r="A19" s="166"/>
      <c r="B19" s="259" t="str">
        <f>B5</f>
        <v>Índice de Precios al Productor (IPP COP)</v>
      </c>
      <c r="C19" s="223">
        <f t="shared" ref="C19:M19" si="14">HLOOKUP(C$16,$C$1:$U$12,$A4,FALSE())</f>
        <v>3.4000000000000002E-2</v>
      </c>
      <c r="D19" s="223">
        <f t="shared" si="14"/>
        <v>2.5000000000000001E-2</v>
      </c>
      <c r="E19" s="223">
        <f t="shared" si="14"/>
        <v>2.5000000000000001E-2</v>
      </c>
      <c r="F19" s="223">
        <f t="shared" si="14"/>
        <v>2.5000000000000001E-2</v>
      </c>
      <c r="G19" s="223">
        <f t="shared" si="14"/>
        <v>2.5000000000000001E-2</v>
      </c>
      <c r="H19" s="223">
        <f t="shared" si="14"/>
        <v>2.5000000000000001E-2</v>
      </c>
      <c r="I19" s="223">
        <f t="shared" si="14"/>
        <v>2.5000000000000001E-2</v>
      </c>
      <c r="J19" s="223">
        <f t="shared" si="14"/>
        <v>2.5000000000000001E-2</v>
      </c>
      <c r="K19" s="223">
        <f t="shared" si="14"/>
        <v>2.5000000000000001E-2</v>
      </c>
      <c r="L19" s="223">
        <f t="shared" si="14"/>
        <v>2.5000000000000001E-2</v>
      </c>
      <c r="M19" s="260">
        <f t="shared" si="14"/>
        <v>2.5000000000000001E-2</v>
      </c>
      <c r="N19" s="223"/>
      <c r="O19" s="166"/>
      <c r="P19" s="166"/>
      <c r="Q19" s="166"/>
      <c r="R19" s="166"/>
      <c r="S19" s="166"/>
      <c r="T19" s="166"/>
      <c r="U19" s="166"/>
      <c r="V19" s="166"/>
      <c r="W19" s="166"/>
      <c r="X19" s="166"/>
    </row>
    <row r="20" spans="1:24">
      <c r="A20" s="166"/>
      <c r="B20" s="259" t="str">
        <f>B4</f>
        <v>Índice de precios al Consumidor (IPC USD)</v>
      </c>
      <c r="C20" s="223">
        <f t="shared" ref="C20:M20" si="15">HLOOKUP(C$16,$C$1:$U$12,$A5,FALSE())</f>
        <v>0.13170000000000001</v>
      </c>
      <c r="D20" s="223">
        <f t="shared" si="15"/>
        <v>2.7E-2</v>
      </c>
      <c r="E20" s="223">
        <f t="shared" si="15"/>
        <v>2.7E-2</v>
      </c>
      <c r="F20" s="223">
        <f t="shared" si="15"/>
        <v>2.7E-2</v>
      </c>
      <c r="G20" s="223">
        <f t="shared" si="15"/>
        <v>2.7E-2</v>
      </c>
      <c r="H20" s="223">
        <f t="shared" si="15"/>
        <v>2.7E-2</v>
      </c>
      <c r="I20" s="223">
        <f t="shared" si="15"/>
        <v>2.7E-2</v>
      </c>
      <c r="J20" s="223">
        <f t="shared" si="15"/>
        <v>2.7E-2</v>
      </c>
      <c r="K20" s="223">
        <f t="shared" si="15"/>
        <v>2.7E-2</v>
      </c>
      <c r="L20" s="223">
        <f t="shared" si="15"/>
        <v>2.7E-2</v>
      </c>
      <c r="M20" s="260">
        <f t="shared" si="15"/>
        <v>2.7E-2</v>
      </c>
      <c r="N20" s="223"/>
      <c r="O20" s="166"/>
      <c r="P20" s="166"/>
      <c r="Q20" s="166"/>
      <c r="R20" s="166"/>
      <c r="S20" s="166"/>
      <c r="T20" s="166"/>
      <c r="U20" s="166"/>
      <c r="V20" s="166"/>
      <c r="W20" s="166"/>
      <c r="X20" s="166"/>
    </row>
    <row r="21" spans="1:24">
      <c r="A21" s="166"/>
      <c r="B21" s="259" t="str">
        <f t="shared" ref="B21:B27" si="16">B6</f>
        <v>Producto Interno Bruto (PIB)</v>
      </c>
      <c r="C21" s="223">
        <f t="shared" ref="C21:M21" si="17">HLOOKUP(C$16,$C$1:$U$12,$A6,FALSE())</f>
        <v>7.0000000000000001E-3</v>
      </c>
      <c r="D21" s="223">
        <f t="shared" si="17"/>
        <v>1.7999999999999999E-2</v>
      </c>
      <c r="E21" s="223">
        <f t="shared" si="17"/>
        <v>1.7999999999999999E-2</v>
      </c>
      <c r="F21" s="223">
        <f t="shared" si="17"/>
        <v>1.7999999999999999E-2</v>
      </c>
      <c r="G21" s="223">
        <f t="shared" si="17"/>
        <v>1.7999999999999999E-2</v>
      </c>
      <c r="H21" s="223">
        <f t="shared" si="17"/>
        <v>1.7999999999999999E-2</v>
      </c>
      <c r="I21" s="223">
        <f t="shared" si="17"/>
        <v>1.7999999999999999E-2</v>
      </c>
      <c r="J21" s="223">
        <f t="shared" si="17"/>
        <v>1.7999999999999999E-2</v>
      </c>
      <c r="K21" s="223">
        <f t="shared" si="17"/>
        <v>1.7999999999999999E-2</v>
      </c>
      <c r="L21" s="223">
        <f t="shared" si="17"/>
        <v>1.7999999999999999E-2</v>
      </c>
      <c r="M21" s="260">
        <f t="shared" si="17"/>
        <v>1.7999999999999999E-2</v>
      </c>
      <c r="N21" s="223"/>
      <c r="O21" s="166"/>
      <c r="P21" s="166"/>
      <c r="Q21" s="166"/>
      <c r="R21" s="166"/>
      <c r="S21" s="166"/>
      <c r="T21" s="166"/>
      <c r="U21" s="166"/>
      <c r="V21" s="166"/>
      <c r="W21" s="166"/>
      <c r="X21" s="166"/>
    </row>
    <row r="22" spans="1:24">
      <c r="A22" s="166"/>
      <c r="B22" s="259" t="str">
        <f t="shared" si="16"/>
        <v>Tasa de Cambio Final</v>
      </c>
      <c r="C22" s="261">
        <f t="shared" ref="C22:M22" si="18">HLOOKUP(C$16,$C$1:$U$12,$A7,FALSE())</f>
        <v>4327.2</v>
      </c>
      <c r="D22" s="262">
        <f t="shared" si="18"/>
        <v>4240.6559999999999</v>
      </c>
      <c r="E22" s="262">
        <f t="shared" si="18"/>
        <v>4291.5438720000002</v>
      </c>
      <c r="F22" s="262">
        <f t="shared" si="18"/>
        <v>4463.2056268800006</v>
      </c>
      <c r="G22" s="262">
        <f t="shared" si="18"/>
        <v>4570.3225619251207</v>
      </c>
      <c r="H22" s="262">
        <f t="shared" si="18"/>
        <v>4680.0103034113235</v>
      </c>
      <c r="I22" s="262">
        <f t="shared" si="18"/>
        <v>4792.3305506931956</v>
      </c>
      <c r="J22" s="262">
        <f t="shared" si="18"/>
        <v>4907.3464839098324</v>
      </c>
      <c r="K22" s="262">
        <f t="shared" si="18"/>
        <v>5025.1227995236686</v>
      </c>
      <c r="L22" s="262">
        <f t="shared" si="18"/>
        <v>5145.7257467122372</v>
      </c>
      <c r="M22" s="263">
        <f t="shared" si="18"/>
        <v>5269.2231646333312</v>
      </c>
      <c r="N22" s="262"/>
      <c r="O22" s="166"/>
      <c r="P22" s="166"/>
      <c r="Q22" s="166"/>
      <c r="R22" s="166"/>
      <c r="S22" s="166"/>
      <c r="T22" s="166"/>
      <c r="U22" s="166"/>
      <c r="V22" s="166"/>
      <c r="W22" s="166"/>
      <c r="X22" s="166"/>
    </row>
    <row r="23" spans="1:24">
      <c r="A23" s="166"/>
      <c r="B23" s="259" t="str">
        <f t="shared" si="16"/>
        <v>Tasa de Cambio Promedio</v>
      </c>
      <c r="C23" s="261">
        <f t="shared" ref="C23:M23" si="19">HLOOKUP(C$16,$C$1:$U$12,$A8,FALSE())</f>
        <v>4567.6000000000004</v>
      </c>
      <c r="D23" s="262">
        <f t="shared" si="19"/>
        <v>4283.9279999999999</v>
      </c>
      <c r="E23" s="262">
        <f t="shared" si="19"/>
        <v>4266.0999360000005</v>
      </c>
      <c r="F23" s="262">
        <f t="shared" si="19"/>
        <v>4377.3747494400004</v>
      </c>
      <c r="G23" s="262">
        <f t="shared" si="19"/>
        <v>4516.7640944025607</v>
      </c>
      <c r="H23" s="262">
        <f t="shared" si="19"/>
        <v>4625.1664326682221</v>
      </c>
      <c r="I23" s="262">
        <f t="shared" si="19"/>
        <v>4736.1704270522596</v>
      </c>
      <c r="J23" s="262">
        <f t="shared" si="19"/>
        <v>4849.838517301514</v>
      </c>
      <c r="K23" s="262">
        <f t="shared" si="19"/>
        <v>4966.23464171675</v>
      </c>
      <c r="L23" s="262">
        <f t="shared" si="19"/>
        <v>5085.4242731179529</v>
      </c>
      <c r="M23" s="263">
        <f t="shared" si="19"/>
        <v>5207.4744556727837</v>
      </c>
      <c r="N23" s="262"/>
      <c r="O23" s="166"/>
      <c r="P23" s="166"/>
      <c r="Q23" s="166"/>
      <c r="R23" s="166"/>
      <c r="S23" s="166"/>
      <c r="T23" s="166"/>
      <c r="U23" s="166"/>
      <c r="V23" s="166"/>
      <c r="W23" s="166"/>
      <c r="X23" s="166"/>
    </row>
    <row r="24" spans="1:24">
      <c r="A24" s="166"/>
      <c r="B24" s="259" t="str">
        <f t="shared" si="16"/>
        <v>Depósitos a Término Fijo (DTF)</v>
      </c>
      <c r="C24" s="223">
        <f t="shared" ref="C24:M24" si="20">HLOOKUP(C$16,$C$1:$U$12,$A9,FALSE())</f>
        <v>0.13120000000000001</v>
      </c>
      <c r="D24" s="223">
        <f t="shared" si="20"/>
        <v>0.10440000000000001</v>
      </c>
      <c r="E24" s="223">
        <f t="shared" si="20"/>
        <v>7.0199999999999999E-2</v>
      </c>
      <c r="F24" s="223">
        <f t="shared" si="20"/>
        <v>6.2199999999999998E-2</v>
      </c>
      <c r="G24" s="223">
        <f t="shared" si="20"/>
        <v>6.13E-2</v>
      </c>
      <c r="H24" s="223">
        <f t="shared" si="20"/>
        <v>6.13E-2</v>
      </c>
      <c r="I24" s="223">
        <f t="shared" si="20"/>
        <v>6.13E-2</v>
      </c>
      <c r="J24" s="223">
        <f t="shared" si="20"/>
        <v>6.13E-2</v>
      </c>
      <c r="K24" s="223">
        <f t="shared" si="20"/>
        <v>6.13E-2</v>
      </c>
      <c r="L24" s="223">
        <f t="shared" si="20"/>
        <v>6.13E-2</v>
      </c>
      <c r="M24" s="260">
        <f t="shared" si="20"/>
        <v>6.13E-2</v>
      </c>
      <c r="N24" s="223"/>
      <c r="O24" s="166"/>
      <c r="P24" s="166"/>
      <c r="Q24" s="166"/>
      <c r="R24" s="166"/>
      <c r="S24" s="166"/>
      <c r="T24" s="166"/>
      <c r="U24" s="166"/>
      <c r="V24" s="166"/>
      <c r="W24" s="166"/>
      <c r="X24" s="166"/>
    </row>
    <row r="25" spans="1:24">
      <c r="A25" s="166"/>
      <c r="B25" s="259" t="str">
        <f t="shared" si="16"/>
        <v>Libor (6m) fin de año</v>
      </c>
      <c r="C25" s="223">
        <f t="shared" ref="C25:M25" si="21">HLOOKUP(C$16,$C$1:$U$12,$A10,FALSE())</f>
        <v>7.4999999999999997E-3</v>
      </c>
      <c r="D25" s="223">
        <f t="shared" si="21"/>
        <v>1.12E-2</v>
      </c>
      <c r="E25" s="223">
        <f t="shared" si="21"/>
        <v>1.47E-2</v>
      </c>
      <c r="F25" s="223">
        <f t="shared" si="21"/>
        <v>1.9400000000000001E-2</v>
      </c>
      <c r="G25" s="223">
        <f t="shared" si="21"/>
        <v>1.9400000000000001E-2</v>
      </c>
      <c r="H25" s="223">
        <f t="shared" si="21"/>
        <v>1.9400000000000001E-2</v>
      </c>
      <c r="I25" s="223">
        <f t="shared" si="21"/>
        <v>1.9400000000000001E-2</v>
      </c>
      <c r="J25" s="223">
        <f t="shared" si="21"/>
        <v>1.9400000000000001E-2</v>
      </c>
      <c r="K25" s="223">
        <f t="shared" si="21"/>
        <v>1.9400000000000001E-2</v>
      </c>
      <c r="L25" s="223">
        <f t="shared" si="21"/>
        <v>1.9400000000000001E-2</v>
      </c>
      <c r="M25" s="260">
        <f t="shared" si="21"/>
        <v>1.9400000000000001E-2</v>
      </c>
      <c r="N25" s="223"/>
      <c r="O25" s="166"/>
      <c r="P25" s="166"/>
      <c r="Q25" s="166"/>
      <c r="R25" s="166"/>
      <c r="S25" s="166"/>
      <c r="T25" s="166"/>
      <c r="U25" s="166"/>
      <c r="V25" s="166"/>
      <c r="W25" s="166"/>
      <c r="X25" s="166"/>
    </row>
    <row r="26" spans="1:24">
      <c r="A26" s="166"/>
      <c r="B26" s="259" t="str">
        <f t="shared" si="16"/>
        <v>Devaluación fin de año</v>
      </c>
      <c r="C26" s="223">
        <f t="shared" ref="C26:M26" si="22">HLOOKUP(C$16,$C$1:$U$12,$A11,FALSE())</f>
        <v>-0.1</v>
      </c>
      <c r="D26" s="223">
        <f t="shared" si="22"/>
        <v>-0.02</v>
      </c>
      <c r="E26" s="223">
        <f t="shared" si="22"/>
        <v>1.2E-2</v>
      </c>
      <c r="F26" s="223">
        <f t="shared" si="22"/>
        <v>0.04</v>
      </c>
      <c r="G26" s="223">
        <f t="shared" si="22"/>
        <v>2.4E-2</v>
      </c>
      <c r="H26" s="223">
        <f t="shared" si="22"/>
        <v>2.4E-2</v>
      </c>
      <c r="I26" s="223">
        <f t="shared" si="22"/>
        <v>2.4E-2</v>
      </c>
      <c r="J26" s="223">
        <f t="shared" si="22"/>
        <v>2.4E-2</v>
      </c>
      <c r="K26" s="223">
        <f t="shared" si="22"/>
        <v>2.4E-2</v>
      </c>
      <c r="L26" s="223">
        <f t="shared" si="22"/>
        <v>2.4E-2</v>
      </c>
      <c r="M26" s="260">
        <f t="shared" si="22"/>
        <v>2.4E-2</v>
      </c>
      <c r="N26" s="223"/>
      <c r="O26" s="166"/>
      <c r="P26" s="166"/>
      <c r="Q26" s="166"/>
      <c r="R26" s="166"/>
      <c r="S26" s="166"/>
      <c r="T26" s="166"/>
      <c r="U26" s="166"/>
      <c r="V26" s="166"/>
      <c r="W26" s="166"/>
      <c r="X26" s="166"/>
    </row>
    <row r="27" spans="1:24">
      <c r="A27" s="166"/>
      <c r="B27" s="264" t="str">
        <f t="shared" si="16"/>
        <v>Incremento SMMLV</v>
      </c>
      <c r="C27" s="265">
        <f t="shared" ref="C27:M27" si="23">HLOOKUP(C$16,$C$1:$U$12,$A12,FALSE())</f>
        <v>0.16</v>
      </c>
      <c r="D27" s="265">
        <f t="shared" si="23"/>
        <v>0.13</v>
      </c>
      <c r="E27" s="265">
        <f t="shared" si="23"/>
        <v>0.08</v>
      </c>
      <c r="F27" s="265">
        <f t="shared" si="23"/>
        <v>0.06</v>
      </c>
      <c r="G27" s="265">
        <f t="shared" si="23"/>
        <v>0.06</v>
      </c>
      <c r="H27" s="265">
        <f t="shared" si="23"/>
        <v>0.06</v>
      </c>
      <c r="I27" s="265">
        <f t="shared" si="23"/>
        <v>0.06</v>
      </c>
      <c r="J27" s="265">
        <f t="shared" si="23"/>
        <v>0.06</v>
      </c>
      <c r="K27" s="265">
        <f t="shared" si="23"/>
        <v>0.06</v>
      </c>
      <c r="L27" s="265">
        <f t="shared" si="23"/>
        <v>0.06</v>
      </c>
      <c r="M27" s="266">
        <f t="shared" si="23"/>
        <v>0.06</v>
      </c>
      <c r="N27" s="223"/>
      <c r="O27" s="166"/>
      <c r="P27" s="166"/>
      <c r="Q27" s="166"/>
      <c r="R27" s="166"/>
      <c r="S27" s="166"/>
      <c r="T27" s="166"/>
      <c r="U27" s="166"/>
      <c r="V27" s="166"/>
      <c r="W27" s="166"/>
      <c r="X27" s="166"/>
    </row>
    <row r="28" spans="1:24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</row>
    <row r="29" spans="1:24" ht="24">
      <c r="A29" s="166"/>
      <c r="B29" s="267" t="s">
        <v>339</v>
      </c>
      <c r="C29" s="268" t="s">
        <v>340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</row>
    <row r="30" spans="1:24">
      <c r="A30" s="166"/>
      <c r="B30" s="15" t="s">
        <v>341</v>
      </c>
      <c r="C30" s="18">
        <v>1000000000</v>
      </c>
      <c r="D30" s="166"/>
      <c r="E30" s="166"/>
      <c r="F30" s="269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</row>
    <row r="31" spans="1:24">
      <c r="A31" s="166"/>
      <c r="B31" s="15" t="s">
        <v>342</v>
      </c>
      <c r="C31" s="18">
        <v>1000000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</row>
    <row r="32" spans="1:24">
      <c r="A32" s="166"/>
      <c r="B32" s="15" t="s">
        <v>1</v>
      </c>
      <c r="C32" s="18">
        <v>1000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</row>
    <row r="33" spans="1:24">
      <c r="A33" s="166"/>
      <c r="B33" s="15" t="s">
        <v>343</v>
      </c>
      <c r="C33" s="18">
        <v>1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</row>
    <row r="34" spans="1:24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</row>
    <row r="35" spans="1:24" ht="16.5">
      <c r="A35" s="166"/>
      <c r="B35" s="250" t="s">
        <v>344</v>
      </c>
      <c r="C35" s="212">
        <f t="shared" ref="C35:M35" si="24">C16</f>
        <v>2023</v>
      </c>
      <c r="D35" s="212">
        <f t="shared" si="24"/>
        <v>2024</v>
      </c>
      <c r="E35" s="212">
        <f t="shared" si="24"/>
        <v>2025</v>
      </c>
      <c r="F35" s="212">
        <f t="shared" si="24"/>
        <v>2026</v>
      </c>
      <c r="G35" s="212">
        <f t="shared" si="24"/>
        <v>2027</v>
      </c>
      <c r="H35" s="212">
        <f t="shared" si="24"/>
        <v>2028</v>
      </c>
      <c r="I35" s="212">
        <f t="shared" si="24"/>
        <v>2029</v>
      </c>
      <c r="J35" s="212">
        <f t="shared" si="24"/>
        <v>2030</v>
      </c>
      <c r="K35" s="212">
        <f t="shared" si="24"/>
        <v>2031</v>
      </c>
      <c r="L35" s="212">
        <f t="shared" si="24"/>
        <v>2032</v>
      </c>
      <c r="M35" s="212">
        <f t="shared" si="24"/>
        <v>2033</v>
      </c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</row>
    <row r="36" spans="1:24">
      <c r="A36" s="166"/>
      <c r="B36" s="166" t="s">
        <v>345</v>
      </c>
      <c r="C36" s="223">
        <v>0.35</v>
      </c>
      <c r="D36" s="191">
        <v>0.35</v>
      </c>
      <c r="E36" s="191">
        <v>0.35</v>
      </c>
      <c r="F36" s="191">
        <v>0.35</v>
      </c>
      <c r="G36" s="191">
        <v>0.35</v>
      </c>
      <c r="H36" s="191">
        <v>0.35</v>
      </c>
      <c r="I36" s="191">
        <v>0.35</v>
      </c>
      <c r="J36" s="191">
        <v>0.35</v>
      </c>
      <c r="K36" s="191">
        <v>0.35</v>
      </c>
      <c r="L36" s="191">
        <v>0.35</v>
      </c>
      <c r="M36" s="191">
        <v>0.35</v>
      </c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</row>
    <row r="37" spans="1:24">
      <c r="A37" s="166"/>
      <c r="B37" s="166" t="s">
        <v>346</v>
      </c>
      <c r="C37" s="223">
        <v>0.75</v>
      </c>
      <c r="D37" s="191">
        <v>0.75</v>
      </c>
      <c r="E37" s="191">
        <v>0.75</v>
      </c>
      <c r="F37" s="191">
        <v>0.75</v>
      </c>
      <c r="G37" s="191">
        <v>0.75</v>
      </c>
      <c r="H37" s="191">
        <v>0.75</v>
      </c>
      <c r="I37" s="191">
        <v>0.75</v>
      </c>
      <c r="J37" s="191">
        <v>0.75</v>
      </c>
      <c r="K37" s="191">
        <v>0.75</v>
      </c>
      <c r="L37" s="191">
        <v>0.75</v>
      </c>
      <c r="M37" s="191">
        <v>0.75</v>
      </c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</row>
    <row r="38" spans="1:24">
      <c r="A38" s="166"/>
      <c r="B38" s="166" t="s">
        <v>347</v>
      </c>
      <c r="C38" s="223">
        <v>0.01</v>
      </c>
      <c r="D38" s="191">
        <v>0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</row>
    <row r="39" spans="1:24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</row>
    <row r="40" spans="1:24" ht="16.5">
      <c r="A40" s="166"/>
      <c r="B40" s="250" t="s">
        <v>348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</row>
    <row r="41" spans="1:24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</row>
    <row r="42" spans="1:24">
      <c r="A42" s="131"/>
      <c r="B42" s="131" t="s">
        <v>349</v>
      </c>
      <c r="C42" s="270">
        <v>0.01</v>
      </c>
      <c r="D42" s="271">
        <f t="shared" ref="D42:M42" si="25">C42</f>
        <v>0.01</v>
      </c>
      <c r="E42" s="271">
        <f t="shared" si="25"/>
        <v>0.01</v>
      </c>
      <c r="F42" s="271">
        <f t="shared" si="25"/>
        <v>0.01</v>
      </c>
      <c r="G42" s="271">
        <f t="shared" si="25"/>
        <v>0.01</v>
      </c>
      <c r="H42" s="271">
        <f t="shared" si="25"/>
        <v>0.01</v>
      </c>
      <c r="I42" s="271">
        <f t="shared" si="25"/>
        <v>0.01</v>
      </c>
      <c r="J42" s="271">
        <f t="shared" si="25"/>
        <v>0.01</v>
      </c>
      <c r="K42" s="271">
        <f t="shared" si="25"/>
        <v>0.01</v>
      </c>
      <c r="L42" s="271">
        <f t="shared" si="25"/>
        <v>0.01</v>
      </c>
      <c r="M42" s="271">
        <f t="shared" si="25"/>
        <v>0.01</v>
      </c>
      <c r="N42" s="166"/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1:24">
      <c r="A43" s="131"/>
      <c r="B43" s="131" t="s">
        <v>350</v>
      </c>
      <c r="C43" s="270">
        <f t="shared" ref="C43:M43" si="26">1-(1+C24)^(-1/4)+C42/4</f>
        <v>3.2849667119248582E-2</v>
      </c>
      <c r="D43" s="270">
        <f t="shared" si="26"/>
        <v>2.7019930577826753E-2</v>
      </c>
      <c r="E43" s="270">
        <f t="shared" si="26"/>
        <v>1.9318352233482824E-2</v>
      </c>
      <c r="F43" s="270">
        <f t="shared" si="26"/>
        <v>1.7472340261521276E-2</v>
      </c>
      <c r="G43" s="270">
        <f t="shared" si="26"/>
        <v>1.7263576690261181E-2</v>
      </c>
      <c r="H43" s="270">
        <f t="shared" si="26"/>
        <v>1.7263576690261181E-2</v>
      </c>
      <c r="I43" s="270">
        <f t="shared" si="26"/>
        <v>1.7263576690261181E-2</v>
      </c>
      <c r="J43" s="270">
        <f t="shared" si="26"/>
        <v>1.7263576690261181E-2</v>
      </c>
      <c r="K43" s="270">
        <f t="shared" si="26"/>
        <v>1.7263576690261181E-2</v>
      </c>
      <c r="L43" s="270">
        <f t="shared" si="26"/>
        <v>1.7263576690261181E-2</v>
      </c>
      <c r="M43" s="270">
        <f t="shared" si="26"/>
        <v>1.7263576690261181E-2</v>
      </c>
      <c r="N43" s="166"/>
      <c r="O43" s="131"/>
      <c r="P43" s="131"/>
      <c r="Q43" s="131"/>
      <c r="R43" s="131"/>
      <c r="S43" s="131"/>
      <c r="T43" s="131"/>
      <c r="U43" s="131"/>
      <c r="V43" s="131"/>
      <c r="W43" s="131"/>
      <c r="X43" s="131"/>
    </row>
    <row r="44" spans="1:24">
      <c r="A44" s="131"/>
      <c r="B44" s="272" t="s">
        <v>351</v>
      </c>
      <c r="C44" s="273">
        <f t="shared" ref="C44:M44" si="27">(1+C43/(1-C43))^(4)-1</f>
        <v>0.14294164559547085</v>
      </c>
      <c r="D44" s="273">
        <f t="shared" si="27"/>
        <v>0.11579451712670008</v>
      </c>
      <c r="E44" s="273">
        <f t="shared" si="27"/>
        <v>8.1154617824932274E-2</v>
      </c>
      <c r="F44" s="273">
        <f t="shared" si="27"/>
        <v>7.3052223396574023E-2</v>
      </c>
      <c r="G44" s="273">
        <f t="shared" si="27"/>
        <v>7.2140716148877182E-2</v>
      </c>
      <c r="H44" s="273">
        <f t="shared" si="27"/>
        <v>7.2140716148877182E-2</v>
      </c>
      <c r="I44" s="273">
        <f t="shared" si="27"/>
        <v>7.2140716148877182E-2</v>
      </c>
      <c r="J44" s="273">
        <f t="shared" si="27"/>
        <v>7.2140716148877182E-2</v>
      </c>
      <c r="K44" s="273">
        <f t="shared" si="27"/>
        <v>7.2140716148877182E-2</v>
      </c>
      <c r="L44" s="273">
        <f t="shared" si="27"/>
        <v>7.2140716148877182E-2</v>
      </c>
      <c r="M44" s="273">
        <f t="shared" si="27"/>
        <v>7.2140716148877182E-2</v>
      </c>
      <c r="N44" s="166"/>
      <c r="O44" s="131"/>
      <c r="P44" s="131"/>
      <c r="Q44" s="131"/>
      <c r="R44" s="131"/>
      <c r="S44" s="131"/>
      <c r="T44" s="131"/>
      <c r="U44" s="131"/>
      <c r="V44" s="131"/>
      <c r="W44" s="131"/>
      <c r="X44" s="131"/>
    </row>
    <row r="45" spans="1:24">
      <c r="A45" s="131"/>
      <c r="B45" s="131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166"/>
      <c r="O45" s="131"/>
      <c r="P45" s="131"/>
      <c r="Q45" s="131"/>
      <c r="R45" s="131"/>
      <c r="S45" s="131"/>
      <c r="T45" s="131"/>
      <c r="U45" s="131"/>
      <c r="V45" s="131"/>
      <c r="W45" s="131"/>
      <c r="X45" s="131"/>
    </row>
    <row r="46" spans="1:24">
      <c r="A46" s="131"/>
      <c r="B46" s="131" t="s">
        <v>352</v>
      </c>
      <c r="C46" s="270">
        <v>0.04</v>
      </c>
      <c r="D46" s="271">
        <f t="shared" ref="D46:M46" si="28">C46</f>
        <v>0.04</v>
      </c>
      <c r="E46" s="271">
        <f t="shared" si="28"/>
        <v>0.04</v>
      </c>
      <c r="F46" s="271">
        <f t="shared" si="28"/>
        <v>0.04</v>
      </c>
      <c r="G46" s="271">
        <f t="shared" si="28"/>
        <v>0.04</v>
      </c>
      <c r="H46" s="271">
        <f t="shared" si="28"/>
        <v>0.04</v>
      </c>
      <c r="I46" s="271">
        <f t="shared" si="28"/>
        <v>0.04</v>
      </c>
      <c r="J46" s="271">
        <f t="shared" si="28"/>
        <v>0.04</v>
      </c>
      <c r="K46" s="271">
        <f t="shared" si="28"/>
        <v>0.04</v>
      </c>
      <c r="L46" s="271">
        <f t="shared" si="28"/>
        <v>0.04</v>
      </c>
      <c r="M46" s="271">
        <f t="shared" si="28"/>
        <v>0.04</v>
      </c>
      <c r="N46" s="166"/>
      <c r="O46" s="131"/>
      <c r="P46" s="131"/>
      <c r="Q46" s="131"/>
      <c r="R46" s="131"/>
      <c r="S46" s="131"/>
      <c r="T46" s="131"/>
      <c r="U46" s="131"/>
      <c r="V46" s="131"/>
      <c r="W46" s="131"/>
      <c r="X46" s="131"/>
    </row>
    <row r="47" spans="1:24">
      <c r="A47" s="131"/>
      <c r="B47" s="131" t="s">
        <v>350</v>
      </c>
      <c r="C47" s="270">
        <f t="shared" ref="C47:M47" si="29">1-(1+C24)^(-1/4)+C46/4</f>
        <v>4.0349667119248582E-2</v>
      </c>
      <c r="D47" s="270">
        <f t="shared" si="29"/>
        <v>3.4519930577826756E-2</v>
      </c>
      <c r="E47" s="270">
        <f t="shared" si="29"/>
        <v>2.6818352233482827E-2</v>
      </c>
      <c r="F47" s="270">
        <f t="shared" si="29"/>
        <v>2.4972340261521279E-2</v>
      </c>
      <c r="G47" s="270">
        <f t="shared" si="29"/>
        <v>2.4763576690261184E-2</v>
      </c>
      <c r="H47" s="270">
        <f t="shared" si="29"/>
        <v>2.4763576690261184E-2</v>
      </c>
      <c r="I47" s="270">
        <f t="shared" si="29"/>
        <v>2.4763576690261184E-2</v>
      </c>
      <c r="J47" s="270">
        <f t="shared" si="29"/>
        <v>2.4763576690261184E-2</v>
      </c>
      <c r="K47" s="270">
        <f t="shared" si="29"/>
        <v>2.4763576690261184E-2</v>
      </c>
      <c r="L47" s="270">
        <f t="shared" si="29"/>
        <v>2.4763576690261184E-2</v>
      </c>
      <c r="M47" s="270">
        <f t="shared" si="29"/>
        <v>2.4763576690261184E-2</v>
      </c>
      <c r="N47" s="166"/>
      <c r="O47" s="131"/>
      <c r="P47" s="131"/>
      <c r="Q47" s="131"/>
      <c r="R47" s="131"/>
      <c r="S47" s="131"/>
      <c r="T47" s="131"/>
      <c r="U47" s="131"/>
      <c r="V47" s="131"/>
      <c r="W47" s="131"/>
      <c r="X47" s="131"/>
    </row>
    <row r="48" spans="1:24">
      <c r="A48" s="131"/>
      <c r="B48" s="272" t="s">
        <v>351</v>
      </c>
      <c r="C48" s="273">
        <f t="shared" ref="C48:M48" si="30">(1+C47/(1-C47))^(4)-1</f>
        <v>0.17909263561408029</v>
      </c>
      <c r="D48" s="273">
        <f t="shared" si="30"/>
        <v>0.15087126851465693</v>
      </c>
      <c r="E48" s="273">
        <f t="shared" si="30"/>
        <v>0.11487033143572112</v>
      </c>
      <c r="F48" s="273">
        <f t="shared" si="30"/>
        <v>0.10645117918513058</v>
      </c>
      <c r="G48" s="273">
        <f t="shared" si="30"/>
        <v>0.10550407534219919</v>
      </c>
      <c r="H48" s="273">
        <f t="shared" si="30"/>
        <v>0.10550407534219919</v>
      </c>
      <c r="I48" s="273">
        <f t="shared" si="30"/>
        <v>0.10550407534219919</v>
      </c>
      <c r="J48" s="273">
        <f t="shared" si="30"/>
        <v>0.10550407534219919</v>
      </c>
      <c r="K48" s="273">
        <f t="shared" si="30"/>
        <v>0.10550407534219919</v>
      </c>
      <c r="L48" s="273">
        <f t="shared" si="30"/>
        <v>0.10550407534219919</v>
      </c>
      <c r="M48" s="273">
        <f t="shared" si="30"/>
        <v>0.10550407534219919</v>
      </c>
      <c r="N48" s="166"/>
      <c r="O48" s="131"/>
      <c r="P48" s="131"/>
      <c r="Q48" s="131"/>
      <c r="R48" s="131"/>
      <c r="S48" s="131"/>
      <c r="T48" s="131"/>
      <c r="U48" s="131"/>
      <c r="V48" s="131"/>
      <c r="W48" s="131"/>
      <c r="X48" s="131"/>
    </row>
    <row r="49" spans="1:24">
      <c r="A49" s="13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66"/>
      <c r="O49" s="131"/>
      <c r="P49" s="131"/>
      <c r="Q49" s="131"/>
      <c r="R49" s="131"/>
      <c r="S49" s="131"/>
      <c r="T49" s="131"/>
      <c r="U49" s="131"/>
      <c r="V49" s="131"/>
      <c r="W49" s="131"/>
      <c r="X49" s="131"/>
    </row>
    <row r="50" spans="1:24">
      <c r="A50" s="131"/>
      <c r="B50" s="131" t="s">
        <v>353</v>
      </c>
      <c r="C50" s="270">
        <v>0.06</v>
      </c>
      <c r="D50" s="271">
        <f t="shared" ref="D50:M50" si="31">C50</f>
        <v>0.06</v>
      </c>
      <c r="E50" s="271">
        <f t="shared" si="31"/>
        <v>0.06</v>
      </c>
      <c r="F50" s="271">
        <f t="shared" si="31"/>
        <v>0.06</v>
      </c>
      <c r="G50" s="271">
        <f t="shared" si="31"/>
        <v>0.06</v>
      </c>
      <c r="H50" s="271">
        <f t="shared" si="31"/>
        <v>0.06</v>
      </c>
      <c r="I50" s="271">
        <f t="shared" si="31"/>
        <v>0.06</v>
      </c>
      <c r="J50" s="271">
        <f t="shared" si="31"/>
        <v>0.06</v>
      </c>
      <c r="K50" s="271">
        <f t="shared" si="31"/>
        <v>0.06</v>
      </c>
      <c r="L50" s="271">
        <f t="shared" si="31"/>
        <v>0.06</v>
      </c>
      <c r="M50" s="271">
        <f t="shared" si="31"/>
        <v>0.06</v>
      </c>
      <c r="N50" s="166"/>
      <c r="O50" s="131"/>
      <c r="P50" s="131"/>
      <c r="Q50" s="131"/>
      <c r="R50" s="131"/>
      <c r="S50" s="131"/>
      <c r="T50" s="131"/>
      <c r="U50" s="131"/>
      <c r="V50" s="131"/>
      <c r="W50" s="131"/>
      <c r="X50" s="131"/>
    </row>
    <row r="51" spans="1:24">
      <c r="A51" s="131"/>
      <c r="B51" s="131" t="s">
        <v>350</v>
      </c>
      <c r="C51" s="270">
        <f t="shared" ref="C51:M51" si="32">1-(1+C24)^(-1/4)+C50/4</f>
        <v>4.534966711924858E-2</v>
      </c>
      <c r="D51" s="270">
        <f t="shared" si="32"/>
        <v>3.9519930577826753E-2</v>
      </c>
      <c r="E51" s="270">
        <f t="shared" si="32"/>
        <v>3.1818352233482824E-2</v>
      </c>
      <c r="F51" s="270">
        <f t="shared" si="32"/>
        <v>2.9972340261521277E-2</v>
      </c>
      <c r="G51" s="270">
        <f t="shared" si="32"/>
        <v>2.9763576690261181E-2</v>
      </c>
      <c r="H51" s="270">
        <f t="shared" si="32"/>
        <v>2.9763576690261181E-2</v>
      </c>
      <c r="I51" s="270">
        <f t="shared" si="32"/>
        <v>2.9763576690261181E-2</v>
      </c>
      <c r="J51" s="270">
        <f t="shared" si="32"/>
        <v>2.9763576690261181E-2</v>
      </c>
      <c r="K51" s="270">
        <f t="shared" si="32"/>
        <v>2.9763576690261181E-2</v>
      </c>
      <c r="L51" s="270">
        <f t="shared" si="32"/>
        <v>2.9763576690261181E-2</v>
      </c>
      <c r="M51" s="270">
        <f t="shared" si="32"/>
        <v>2.9763576690261181E-2</v>
      </c>
      <c r="N51" s="166"/>
      <c r="O51" s="131"/>
      <c r="P51" s="131"/>
      <c r="Q51" s="131"/>
      <c r="R51" s="131"/>
      <c r="S51" s="131"/>
      <c r="T51" s="131"/>
      <c r="U51" s="131"/>
      <c r="V51" s="131"/>
      <c r="W51" s="131"/>
      <c r="X51" s="131"/>
    </row>
    <row r="52" spans="1:24">
      <c r="A52" s="131"/>
      <c r="B52" s="272" t="s">
        <v>354</v>
      </c>
      <c r="C52" s="273">
        <f t="shared" ref="C52:M52" si="33">(1+C51/(1-C51))^(4)-1</f>
        <v>0.20398946459840706</v>
      </c>
      <c r="D52" s="273">
        <f t="shared" si="33"/>
        <v>0.17502354865044389</v>
      </c>
      <c r="E52" s="273">
        <f t="shared" si="33"/>
        <v>0.13807953865882894</v>
      </c>
      <c r="F52" s="273">
        <f t="shared" si="33"/>
        <v>0.12944094435090658</v>
      </c>
      <c r="G52" s="273">
        <f t="shared" si="33"/>
        <v>0.12846918105703686</v>
      </c>
      <c r="H52" s="273">
        <f t="shared" si="33"/>
        <v>0.12846918105703686</v>
      </c>
      <c r="I52" s="273">
        <f t="shared" si="33"/>
        <v>0.12846918105703686</v>
      </c>
      <c r="J52" s="273">
        <f t="shared" si="33"/>
        <v>0.12846918105703686</v>
      </c>
      <c r="K52" s="273">
        <f t="shared" si="33"/>
        <v>0.12846918105703686</v>
      </c>
      <c r="L52" s="273">
        <f t="shared" si="33"/>
        <v>0.12846918105703686</v>
      </c>
      <c r="M52" s="273">
        <f t="shared" si="33"/>
        <v>0.12846918105703686</v>
      </c>
      <c r="N52" s="166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1:24">
      <c r="N53" s="166"/>
    </row>
    <row r="54" spans="1:24">
      <c r="N54" s="166"/>
    </row>
    <row r="55" spans="1:24">
      <c r="N55" s="166"/>
    </row>
    <row r="56" spans="1:24">
      <c r="N56" s="166"/>
    </row>
    <row r="57" spans="1:24">
      <c r="N57" s="166"/>
    </row>
    <row r="58" spans="1:24">
      <c r="N58" s="166"/>
    </row>
    <row r="59" spans="1:24">
      <c r="N59" s="166"/>
    </row>
  </sheetData>
  <pageMargins left="0.7" right="0.7" top="0.75" bottom="0.75" header="0.51180555555555496" footer="0.51180555555555496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329"/>
  <sheetViews>
    <sheetView zoomScaleNormal="100" zoomScalePageLayoutView="60" workbookViewId="0"/>
  </sheetViews>
  <sheetFormatPr baseColWidth="10" defaultColWidth="4.7109375" defaultRowHeight="15"/>
  <cols>
    <col min="1" max="1" width="4.7109375" style="275"/>
    <col min="2" max="2" width="16.42578125" style="275" customWidth="1"/>
    <col min="3" max="3" width="6.28515625" style="275" customWidth="1"/>
    <col min="4" max="4" width="10.28515625" style="275" customWidth="1"/>
    <col min="5" max="5" width="12.42578125" style="275" customWidth="1"/>
    <col min="6" max="6" width="5.7109375" style="275" customWidth="1"/>
    <col min="7" max="7" width="12" style="275" customWidth="1"/>
    <col min="8" max="8" width="11" style="275" customWidth="1"/>
    <col min="9" max="9" width="12.42578125" style="275" customWidth="1"/>
    <col min="10" max="10" width="11.42578125" style="275" customWidth="1"/>
    <col min="11" max="11" width="12.42578125" style="275" customWidth="1"/>
    <col min="12" max="12" width="4.5703125" style="275"/>
    <col min="13" max="13" width="12" style="275" customWidth="1"/>
    <col min="14" max="14" width="7.7109375" style="275" customWidth="1"/>
    <col min="15" max="16" width="6.28515625" style="275" customWidth="1"/>
    <col min="17" max="17" width="6" style="275" customWidth="1"/>
    <col min="18" max="18" width="4.7109375" style="275"/>
    <col min="19" max="19" width="3.7109375" style="275" customWidth="1"/>
    <col min="20" max="21" width="6.28515625" style="275" customWidth="1"/>
    <col min="22" max="22" width="6" style="275" customWidth="1"/>
    <col min="23" max="1024" width="4.7109375" style="275"/>
  </cols>
  <sheetData>
    <row r="1" spans="1:22" s="276" customFormat="1" ht="18">
      <c r="B1" s="2" t="s">
        <v>355</v>
      </c>
      <c r="C1" s="2"/>
      <c r="D1" s="2"/>
      <c r="E1" s="2"/>
      <c r="F1" s="2"/>
      <c r="G1" s="2"/>
      <c r="H1" s="2"/>
      <c r="I1" s="2"/>
      <c r="J1" s="2"/>
      <c r="K1" s="2"/>
    </row>
    <row r="2" spans="1:22" s="276" customFormat="1" ht="12.75">
      <c r="A2" s="275"/>
      <c r="B2" s="275"/>
      <c r="C2" s="275"/>
      <c r="D2" s="275"/>
      <c r="E2" s="275"/>
      <c r="F2" s="277"/>
      <c r="G2" s="275"/>
      <c r="H2" s="275"/>
      <c r="I2" s="275"/>
      <c r="J2" s="275"/>
      <c r="K2" s="275"/>
      <c r="M2" s="275"/>
      <c r="N2" s="275"/>
    </row>
    <row r="3" spans="1:22">
      <c r="B3" s="1" t="s">
        <v>356</v>
      </c>
      <c r="C3" s="1"/>
      <c r="D3" s="1"/>
      <c r="E3" s="1"/>
      <c r="F3" s="278" t="s">
        <v>357</v>
      </c>
      <c r="J3" s="279" t="s">
        <v>358</v>
      </c>
    </row>
    <row r="4" spans="1:22">
      <c r="B4" s="1" t="s">
        <v>359</v>
      </c>
      <c r="C4" s="1"/>
      <c r="D4" s="1"/>
      <c r="E4" s="1"/>
      <c r="F4" s="278">
        <v>1983</v>
      </c>
      <c r="G4" s="277">
        <f>B108-F4+1</f>
        <v>40</v>
      </c>
      <c r="H4" s="277" t="s">
        <v>360</v>
      </c>
      <c r="J4" s="279" t="s">
        <v>357</v>
      </c>
    </row>
    <row r="5" spans="1:22">
      <c r="F5" s="277"/>
    </row>
    <row r="6" spans="1:22">
      <c r="B6" s="1" t="s">
        <v>361</v>
      </c>
      <c r="C6" s="1"/>
      <c r="D6" s="1"/>
      <c r="E6" s="1"/>
      <c r="F6" s="280">
        <f>VLOOKUP(F4-1,$B$13:$H$108,5)</f>
        <v>9105.0819200356109</v>
      </c>
    </row>
    <row r="7" spans="1:22">
      <c r="B7" s="1" t="s">
        <v>362</v>
      </c>
      <c r="C7" s="1"/>
      <c r="D7" s="1"/>
      <c r="E7" s="1"/>
      <c r="F7" s="280">
        <f>VLOOKUP(F4-1,B$13:H$108,6)</f>
        <v>569.17982312928484</v>
      </c>
    </row>
    <row r="8" spans="1:22">
      <c r="B8" s="1" t="s">
        <v>363</v>
      </c>
      <c r="C8" s="1"/>
      <c r="D8" s="1"/>
      <c r="E8" s="1"/>
      <c r="F8" s="280">
        <f>VLOOKUP(F4-1,B$13:H$108,7)</f>
        <v>644.03524241645732</v>
      </c>
    </row>
    <row r="9" spans="1:22">
      <c r="B9" s="521" t="s">
        <v>364</v>
      </c>
      <c r="C9" s="521"/>
      <c r="D9" s="521"/>
      <c r="E9" s="521"/>
      <c r="F9" s="282">
        <f>IF(F3="ST",(F108/F6)^(1/(B108-F4+1))-(G108/F7)^(1/(B108-F4+1)),(F108/F6)^(1/(B108-F4+1))-(H108/F8)^(1/(B108-F4+1)))</f>
        <v>5.0004998028900571E-2</v>
      </c>
      <c r="G9" s="283"/>
    </row>
    <row r="11" spans="1:22" ht="12.95" customHeight="1">
      <c r="A11" s="284"/>
      <c r="B11" s="284"/>
      <c r="C11" s="522" t="s">
        <v>365</v>
      </c>
      <c r="D11" s="522"/>
      <c r="E11" s="522"/>
      <c r="F11" s="522" t="s">
        <v>366</v>
      </c>
      <c r="G11" s="522"/>
      <c r="H11" s="522"/>
      <c r="I11" s="284"/>
      <c r="J11" s="284"/>
      <c r="K11" s="284"/>
    </row>
    <row r="12" spans="1:22" ht="38.25">
      <c r="A12" s="284"/>
      <c r="B12" s="285" t="s">
        <v>367</v>
      </c>
      <c r="C12" s="286" t="s">
        <v>368</v>
      </c>
      <c r="D12" s="287" t="s">
        <v>369</v>
      </c>
      <c r="E12" s="288" t="s">
        <v>370</v>
      </c>
      <c r="F12" s="286" t="s">
        <v>371</v>
      </c>
      <c r="G12" s="287" t="s">
        <v>372</v>
      </c>
      <c r="H12" s="288" t="s">
        <v>373</v>
      </c>
      <c r="I12" s="286" t="s">
        <v>374</v>
      </c>
      <c r="J12" s="287" t="s">
        <v>375</v>
      </c>
      <c r="K12" s="288" t="s">
        <v>376</v>
      </c>
      <c r="N12" s="289" t="s">
        <v>377</v>
      </c>
      <c r="O12" s="290" t="str">
        <f>C12</f>
        <v>S&amp;P 500</v>
      </c>
      <c r="P12" s="290" t="str">
        <f>D12</f>
        <v>3-month T.Bill</v>
      </c>
      <c r="Q12" s="291" t="str">
        <f>E12</f>
        <v>10-year T. Bond</v>
      </c>
      <c r="R12" s="292"/>
      <c r="S12" s="289"/>
      <c r="T12" s="290" t="str">
        <f>O12</f>
        <v>S&amp;P 500</v>
      </c>
      <c r="U12" s="290" t="str">
        <f>P12</f>
        <v>3-month T.Bill</v>
      </c>
      <c r="V12" s="291" t="str">
        <f>Q12</f>
        <v>10-year T. Bond</v>
      </c>
    </row>
    <row r="13" spans="1:22">
      <c r="A13" s="284"/>
      <c r="B13" s="293">
        <v>1927</v>
      </c>
      <c r="C13" s="294"/>
      <c r="D13" s="295"/>
      <c r="E13" s="296"/>
      <c r="F13" s="297">
        <v>100</v>
      </c>
      <c r="G13" s="298">
        <v>100</v>
      </c>
      <c r="H13" s="299">
        <v>100</v>
      </c>
      <c r="I13" s="294"/>
      <c r="J13" s="295"/>
      <c r="K13" s="296"/>
      <c r="N13" s="300">
        <f t="shared" ref="N13:N44" si="0">B13</f>
        <v>1927</v>
      </c>
      <c r="O13" s="301">
        <f t="shared" ref="O13:O44" si="1">F13</f>
        <v>100</v>
      </c>
      <c r="P13" s="301">
        <f t="shared" ref="P13:P44" si="2">G13</f>
        <v>100</v>
      </c>
      <c r="Q13" s="302">
        <f t="shared" ref="Q13:Q44" si="3">H13</f>
        <v>100</v>
      </c>
      <c r="S13" s="300">
        <f t="shared" ref="S13:S44" si="4">N13</f>
        <v>1927</v>
      </c>
      <c r="T13" s="303">
        <f t="shared" ref="T13:T44" si="5">C13</f>
        <v>0</v>
      </c>
      <c r="U13" s="303">
        <f t="shared" ref="U13:U44" si="6">D13</f>
        <v>0</v>
      </c>
      <c r="V13" s="304">
        <f t="shared" ref="V13:V44" si="7">E13</f>
        <v>0</v>
      </c>
    </row>
    <row r="14" spans="1:22">
      <c r="B14" s="305">
        <v>1928</v>
      </c>
      <c r="C14" s="306">
        <v>0.43811155152887898</v>
      </c>
      <c r="D14" s="307">
        <v>3.0800000000000001E-2</v>
      </c>
      <c r="E14" s="308">
        <v>8.3547085897993003E-3</v>
      </c>
      <c r="F14" s="309">
        <f t="shared" ref="F14:F45" si="8">F13*(1+C14)</f>
        <v>143.81115515288789</v>
      </c>
      <c r="G14" s="310">
        <f t="shared" ref="G14:G45" si="9">G13*(1+D14)</f>
        <v>103.08</v>
      </c>
      <c r="H14" s="311">
        <f t="shared" ref="H14:H45" si="10">H13*(1+E14)</f>
        <v>100.83547085897993</v>
      </c>
      <c r="I14" s="306">
        <f t="shared" ref="I14:I45" si="11">C14-D14</f>
        <v>0.40731155152887899</v>
      </c>
      <c r="J14" s="307">
        <f t="shared" ref="J14:J45" si="12">C14-E14</f>
        <v>0.42975684293907968</v>
      </c>
      <c r="K14" s="308">
        <f t="shared" ref="K14:K45" si="13">((F14/100)^(1/(B14-$B$13)))-((H14/100)^(1/(B14-$B$13)))</f>
        <v>0.42975684293907968</v>
      </c>
      <c r="L14" s="283"/>
      <c r="N14" s="312">
        <f t="shared" si="0"/>
        <v>1928</v>
      </c>
      <c r="O14" s="313">
        <f t="shared" si="1"/>
        <v>143.81115515288789</v>
      </c>
      <c r="P14" s="313">
        <f t="shared" si="2"/>
        <v>103.08</v>
      </c>
      <c r="Q14" s="314">
        <f t="shared" si="3"/>
        <v>100.83547085897993</v>
      </c>
      <c r="S14" s="312">
        <f t="shared" si="4"/>
        <v>1928</v>
      </c>
      <c r="T14" s="315">
        <f t="shared" si="5"/>
        <v>0.43811155152887898</v>
      </c>
      <c r="U14" s="315">
        <f t="shared" si="6"/>
        <v>3.0800000000000001E-2</v>
      </c>
      <c r="V14" s="316">
        <f t="shared" si="7"/>
        <v>8.3547085897993003E-3</v>
      </c>
    </row>
    <row r="15" spans="1:22">
      <c r="B15" s="305">
        <v>1929</v>
      </c>
      <c r="C15" s="306">
        <v>-8.2979466119096595E-2</v>
      </c>
      <c r="D15" s="307">
        <v>3.1600000000000003E-2</v>
      </c>
      <c r="E15" s="308">
        <v>4.2038041563204301E-2</v>
      </c>
      <c r="F15" s="309">
        <f t="shared" si="8"/>
        <v>131.87778227633069</v>
      </c>
      <c r="G15" s="310">
        <f t="shared" si="9"/>
        <v>106.337328</v>
      </c>
      <c r="H15" s="311">
        <f t="shared" si="10"/>
        <v>105.074396573995</v>
      </c>
      <c r="I15" s="306">
        <f t="shared" si="11"/>
        <v>-0.1145794661190966</v>
      </c>
      <c r="J15" s="307">
        <f t="shared" si="12"/>
        <v>-0.12501750768230091</v>
      </c>
      <c r="K15" s="308">
        <f t="shared" si="13"/>
        <v>0.12332249133684026</v>
      </c>
      <c r="N15" s="312">
        <f t="shared" si="0"/>
        <v>1929</v>
      </c>
      <c r="O15" s="313">
        <f t="shared" si="1"/>
        <v>131.87778227633069</v>
      </c>
      <c r="P15" s="313">
        <f t="shared" si="2"/>
        <v>106.337328</v>
      </c>
      <c r="Q15" s="314">
        <f t="shared" si="3"/>
        <v>105.074396573995</v>
      </c>
      <c r="S15" s="312">
        <f t="shared" si="4"/>
        <v>1929</v>
      </c>
      <c r="T15" s="315">
        <f t="shared" si="5"/>
        <v>-8.2979466119096595E-2</v>
      </c>
      <c r="U15" s="315">
        <f t="shared" si="6"/>
        <v>3.1600000000000003E-2</v>
      </c>
      <c r="V15" s="316">
        <f t="shared" si="7"/>
        <v>4.2038041563204301E-2</v>
      </c>
    </row>
    <row r="16" spans="1:22">
      <c r="B16" s="305">
        <v>1930</v>
      </c>
      <c r="C16" s="306">
        <v>-0.25123636363636398</v>
      </c>
      <c r="D16" s="307">
        <v>4.5499999999999999E-2</v>
      </c>
      <c r="E16" s="308">
        <v>4.54093143489704E-2</v>
      </c>
      <c r="F16" s="309">
        <f t="shared" si="8"/>
        <v>98.745287812797244</v>
      </c>
      <c r="G16" s="310">
        <f t="shared" si="9"/>
        <v>111.17567642400002</v>
      </c>
      <c r="H16" s="311">
        <f t="shared" si="10"/>
        <v>109.84575287805193</v>
      </c>
      <c r="I16" s="306">
        <f t="shared" si="11"/>
        <v>-0.29673636363636396</v>
      </c>
      <c r="J16" s="307">
        <f t="shared" si="12"/>
        <v>-0.29664567798533437</v>
      </c>
      <c r="K16" s="308">
        <f t="shared" si="13"/>
        <v>-3.5997375173294266E-2</v>
      </c>
      <c r="N16" s="312">
        <f t="shared" si="0"/>
        <v>1930</v>
      </c>
      <c r="O16" s="313">
        <f t="shared" si="1"/>
        <v>98.745287812797244</v>
      </c>
      <c r="P16" s="313">
        <f t="shared" si="2"/>
        <v>111.17567642400002</v>
      </c>
      <c r="Q16" s="314">
        <f t="shared" si="3"/>
        <v>109.84575287805193</v>
      </c>
      <c r="S16" s="312">
        <f t="shared" si="4"/>
        <v>1930</v>
      </c>
      <c r="T16" s="315">
        <f t="shared" si="5"/>
        <v>-0.25123636363636398</v>
      </c>
      <c r="U16" s="315">
        <f t="shared" si="6"/>
        <v>4.5499999999999999E-2</v>
      </c>
      <c r="V16" s="316">
        <f t="shared" si="7"/>
        <v>4.54093143489704E-2</v>
      </c>
    </row>
    <row r="17" spans="2:22">
      <c r="B17" s="305">
        <v>1931</v>
      </c>
      <c r="C17" s="306">
        <v>-0.43837548891786199</v>
      </c>
      <c r="D17" s="307">
        <v>2.3099999999999999E-2</v>
      </c>
      <c r="E17" s="308">
        <v>-2.55885596194225E-2</v>
      </c>
      <c r="F17" s="309">
        <f t="shared" si="8"/>
        <v>55.457773989527261</v>
      </c>
      <c r="G17" s="310">
        <f t="shared" si="9"/>
        <v>113.74383454939441</v>
      </c>
      <c r="H17" s="311">
        <f t="shared" si="10"/>
        <v>107.03495828159154</v>
      </c>
      <c r="I17" s="306">
        <f t="shared" si="11"/>
        <v>-0.461475488917862</v>
      </c>
      <c r="J17" s="307">
        <f t="shared" si="12"/>
        <v>-0.41278692929843946</v>
      </c>
      <c r="K17" s="308">
        <f t="shared" si="13"/>
        <v>-0.15418170031168976</v>
      </c>
      <c r="N17" s="312">
        <f t="shared" si="0"/>
        <v>1931</v>
      </c>
      <c r="O17" s="313">
        <f t="shared" si="1"/>
        <v>55.457773989527261</v>
      </c>
      <c r="P17" s="313">
        <f t="shared" si="2"/>
        <v>113.74383454939441</v>
      </c>
      <c r="Q17" s="314">
        <f t="shared" si="3"/>
        <v>107.03495828159154</v>
      </c>
      <c r="S17" s="312">
        <f t="shared" si="4"/>
        <v>1931</v>
      </c>
      <c r="T17" s="315">
        <f t="shared" si="5"/>
        <v>-0.43837548891786199</v>
      </c>
      <c r="U17" s="315">
        <f t="shared" si="6"/>
        <v>2.3099999999999999E-2</v>
      </c>
      <c r="V17" s="316">
        <f t="shared" si="7"/>
        <v>-2.55885596194225E-2</v>
      </c>
    </row>
    <row r="18" spans="2:22">
      <c r="B18" s="305">
        <v>1932</v>
      </c>
      <c r="C18" s="306">
        <v>-8.6423645320197001E-2</v>
      </c>
      <c r="D18" s="307">
        <v>1.0699999999999999E-2</v>
      </c>
      <c r="E18" s="308">
        <v>8.7903069904773298E-2</v>
      </c>
      <c r="F18" s="309">
        <f t="shared" si="8"/>
        <v>50.664911000008715</v>
      </c>
      <c r="G18" s="310">
        <f t="shared" si="9"/>
        <v>114.96089357907292</v>
      </c>
      <c r="H18" s="311">
        <f t="shared" si="10"/>
        <v>116.44365970167279</v>
      </c>
      <c r="I18" s="306">
        <f t="shared" si="11"/>
        <v>-9.7123645320197002E-2</v>
      </c>
      <c r="J18" s="307">
        <f t="shared" si="12"/>
        <v>-0.17432671522497029</v>
      </c>
      <c r="K18" s="308">
        <f t="shared" si="13"/>
        <v>-0.15806203796136797</v>
      </c>
      <c r="N18" s="312">
        <f t="shared" si="0"/>
        <v>1932</v>
      </c>
      <c r="O18" s="313">
        <f t="shared" si="1"/>
        <v>50.664911000008715</v>
      </c>
      <c r="P18" s="313">
        <f t="shared" si="2"/>
        <v>114.96089357907292</v>
      </c>
      <c r="Q18" s="314">
        <f t="shared" si="3"/>
        <v>116.44365970167279</v>
      </c>
      <c r="S18" s="312">
        <f t="shared" si="4"/>
        <v>1932</v>
      </c>
      <c r="T18" s="315">
        <f t="shared" si="5"/>
        <v>-8.6423645320197001E-2</v>
      </c>
      <c r="U18" s="315">
        <f t="shared" si="6"/>
        <v>1.0699999999999999E-2</v>
      </c>
      <c r="V18" s="316">
        <f t="shared" si="7"/>
        <v>8.7903069904773298E-2</v>
      </c>
    </row>
    <row r="19" spans="2:22">
      <c r="B19" s="305">
        <v>1933</v>
      </c>
      <c r="C19" s="306">
        <v>0.49982225433526001</v>
      </c>
      <c r="D19" s="307">
        <v>9.5999999999999992E-3</v>
      </c>
      <c r="E19" s="308">
        <v>1.8552720891857399E-2</v>
      </c>
      <c r="F19" s="309">
        <f t="shared" si="8"/>
        <v>75.988361031728374</v>
      </c>
      <c r="G19" s="310">
        <f t="shared" si="9"/>
        <v>116.06451815743202</v>
      </c>
      <c r="H19" s="311">
        <f t="shared" si="10"/>
        <v>118.60400641974435</v>
      </c>
      <c r="I19" s="306">
        <f t="shared" si="11"/>
        <v>0.49022225433526001</v>
      </c>
      <c r="J19" s="307">
        <f t="shared" si="12"/>
        <v>0.48126953344340262</v>
      </c>
      <c r="K19" s="308">
        <f t="shared" si="13"/>
        <v>-7.3578439331130951E-2</v>
      </c>
      <c r="N19" s="312">
        <f t="shared" si="0"/>
        <v>1933</v>
      </c>
      <c r="O19" s="313">
        <f t="shared" si="1"/>
        <v>75.988361031728374</v>
      </c>
      <c r="P19" s="313">
        <f t="shared" si="2"/>
        <v>116.06451815743202</v>
      </c>
      <c r="Q19" s="314">
        <f t="shared" si="3"/>
        <v>118.60400641974435</v>
      </c>
      <c r="S19" s="312">
        <f t="shared" si="4"/>
        <v>1933</v>
      </c>
      <c r="T19" s="315">
        <f t="shared" si="5"/>
        <v>0.49982225433526001</v>
      </c>
      <c r="U19" s="315">
        <f t="shared" si="6"/>
        <v>9.5999999999999992E-3</v>
      </c>
      <c r="V19" s="316">
        <f t="shared" si="7"/>
        <v>1.8552720891857399E-2</v>
      </c>
    </row>
    <row r="20" spans="2:22">
      <c r="B20" s="305">
        <v>1934</v>
      </c>
      <c r="C20" s="306">
        <v>-1.1885656970912799E-2</v>
      </c>
      <c r="D20" s="307">
        <v>3.225E-3</v>
      </c>
      <c r="E20" s="308">
        <v>7.9634426179656104E-2</v>
      </c>
      <c r="F20" s="309">
        <f t="shared" si="8"/>
        <v>75.085189438723376</v>
      </c>
      <c r="G20" s="310">
        <f t="shared" si="9"/>
        <v>116.43882622848975</v>
      </c>
      <c r="H20" s="311">
        <f t="shared" si="10"/>
        <v>128.04896841358894</v>
      </c>
      <c r="I20" s="306">
        <f t="shared" si="11"/>
        <v>-1.51106569709128E-2</v>
      </c>
      <c r="J20" s="307">
        <f t="shared" si="12"/>
        <v>-9.1520083150568907E-2</v>
      </c>
      <c r="K20" s="308">
        <f t="shared" si="13"/>
        <v>-7.606027444809349E-2</v>
      </c>
      <c r="N20" s="312">
        <f t="shared" si="0"/>
        <v>1934</v>
      </c>
      <c r="O20" s="313">
        <f t="shared" si="1"/>
        <v>75.085189438723376</v>
      </c>
      <c r="P20" s="313">
        <f t="shared" si="2"/>
        <v>116.43882622848975</v>
      </c>
      <c r="Q20" s="314">
        <f t="shared" si="3"/>
        <v>128.04896841358894</v>
      </c>
      <c r="S20" s="312">
        <f t="shared" si="4"/>
        <v>1934</v>
      </c>
      <c r="T20" s="315">
        <f t="shared" si="5"/>
        <v>-1.1885656970912799E-2</v>
      </c>
      <c r="U20" s="315">
        <f t="shared" si="6"/>
        <v>3.225E-3</v>
      </c>
      <c r="V20" s="316">
        <f t="shared" si="7"/>
        <v>7.9634426179656104E-2</v>
      </c>
    </row>
    <row r="21" spans="2:22">
      <c r="B21" s="305">
        <v>1935</v>
      </c>
      <c r="C21" s="306">
        <v>0.46740421052631598</v>
      </c>
      <c r="D21" s="307">
        <v>1.75E-3</v>
      </c>
      <c r="E21" s="308">
        <v>4.47204772965661E-2</v>
      </c>
      <c r="F21" s="309">
        <f t="shared" si="8"/>
        <v>110.18032313054876</v>
      </c>
      <c r="G21" s="310">
        <f t="shared" si="9"/>
        <v>116.64259417438959</v>
      </c>
      <c r="H21" s="311">
        <f t="shared" si="10"/>
        <v>133.77537939837757</v>
      </c>
      <c r="I21" s="306">
        <f t="shared" si="11"/>
        <v>0.465654210526316</v>
      </c>
      <c r="J21" s="307">
        <f t="shared" si="12"/>
        <v>0.42268373322974989</v>
      </c>
      <c r="K21" s="308">
        <f t="shared" si="13"/>
        <v>-2.4851375670813081E-2</v>
      </c>
      <c r="N21" s="312">
        <f t="shared" si="0"/>
        <v>1935</v>
      </c>
      <c r="O21" s="313">
        <f t="shared" si="1"/>
        <v>110.18032313054876</v>
      </c>
      <c r="P21" s="313">
        <f t="shared" si="2"/>
        <v>116.64259417438959</v>
      </c>
      <c r="Q21" s="314">
        <f t="shared" si="3"/>
        <v>133.77537939837757</v>
      </c>
      <c r="S21" s="312">
        <f t="shared" si="4"/>
        <v>1935</v>
      </c>
      <c r="T21" s="315">
        <f t="shared" si="5"/>
        <v>0.46740421052631598</v>
      </c>
      <c r="U21" s="315">
        <f t="shared" si="6"/>
        <v>1.75E-3</v>
      </c>
      <c r="V21" s="316">
        <f t="shared" si="7"/>
        <v>4.47204772965661E-2</v>
      </c>
    </row>
    <row r="22" spans="2:22">
      <c r="B22" s="305">
        <v>1936</v>
      </c>
      <c r="C22" s="306">
        <v>0.31943410275502598</v>
      </c>
      <c r="D22" s="307">
        <v>1.6999999999999999E-3</v>
      </c>
      <c r="E22" s="308">
        <v>5.0178754045450601E-2</v>
      </c>
      <c r="F22" s="309">
        <f t="shared" si="8"/>
        <v>145.37567579101443</v>
      </c>
      <c r="G22" s="310">
        <f t="shared" si="9"/>
        <v>116.84088658448606</v>
      </c>
      <c r="H22" s="311">
        <f t="shared" si="10"/>
        <v>140.4880612585456</v>
      </c>
      <c r="I22" s="306">
        <f t="shared" si="11"/>
        <v>0.317734102755026</v>
      </c>
      <c r="J22" s="307">
        <f t="shared" si="12"/>
        <v>0.2692553487095754</v>
      </c>
      <c r="K22" s="308">
        <f t="shared" si="13"/>
        <v>3.95364309547519E-3</v>
      </c>
      <c r="N22" s="312">
        <f t="shared" si="0"/>
        <v>1936</v>
      </c>
      <c r="O22" s="313">
        <f t="shared" si="1"/>
        <v>145.37567579101443</v>
      </c>
      <c r="P22" s="313">
        <f t="shared" si="2"/>
        <v>116.84088658448606</v>
      </c>
      <c r="Q22" s="314">
        <f t="shared" si="3"/>
        <v>140.4880612585456</v>
      </c>
      <c r="S22" s="312">
        <f t="shared" si="4"/>
        <v>1936</v>
      </c>
      <c r="T22" s="315">
        <f t="shared" si="5"/>
        <v>0.31943410275502598</v>
      </c>
      <c r="U22" s="315">
        <f t="shared" si="6"/>
        <v>1.6999999999999999E-3</v>
      </c>
      <c r="V22" s="316">
        <f t="shared" si="7"/>
        <v>5.0178754045450601E-2</v>
      </c>
    </row>
    <row r="23" spans="2:22">
      <c r="B23" s="305">
        <v>1937</v>
      </c>
      <c r="C23" s="306">
        <v>-0.35336728754365498</v>
      </c>
      <c r="D23" s="307">
        <v>3.0249999999999999E-3</v>
      </c>
      <c r="E23" s="308">
        <v>1.37914605964604E-2</v>
      </c>
      <c r="F23" s="309">
        <f t="shared" si="8"/>
        <v>94.00466756191787</v>
      </c>
      <c r="G23" s="310">
        <f t="shared" si="9"/>
        <v>117.19433026640414</v>
      </c>
      <c r="H23" s="311">
        <f t="shared" si="10"/>
        <v>142.42559681966594</v>
      </c>
      <c r="I23" s="306">
        <f t="shared" si="11"/>
        <v>-0.35639228754365498</v>
      </c>
      <c r="J23" s="307">
        <f t="shared" si="12"/>
        <v>-0.3671587481401154</v>
      </c>
      <c r="K23" s="308">
        <f t="shared" si="13"/>
        <v>-4.2161234557999583E-2</v>
      </c>
      <c r="N23" s="312">
        <f t="shared" si="0"/>
        <v>1937</v>
      </c>
      <c r="O23" s="313">
        <f t="shared" si="1"/>
        <v>94.00466756191787</v>
      </c>
      <c r="P23" s="313">
        <f t="shared" si="2"/>
        <v>117.19433026640414</v>
      </c>
      <c r="Q23" s="314">
        <f t="shared" si="3"/>
        <v>142.42559681966594</v>
      </c>
      <c r="S23" s="312">
        <f t="shared" si="4"/>
        <v>1937</v>
      </c>
      <c r="T23" s="315">
        <f t="shared" si="5"/>
        <v>-0.35336728754365498</v>
      </c>
      <c r="U23" s="315">
        <f t="shared" si="6"/>
        <v>3.0249999999999999E-3</v>
      </c>
      <c r="V23" s="316">
        <f t="shared" si="7"/>
        <v>1.37914605964604E-2</v>
      </c>
    </row>
    <row r="24" spans="2:22">
      <c r="B24" s="305">
        <v>1938</v>
      </c>
      <c r="C24" s="306">
        <v>0.29282654028436</v>
      </c>
      <c r="D24" s="307">
        <v>7.7499999999999997E-4</v>
      </c>
      <c r="E24" s="308">
        <v>4.2132485322046102E-2</v>
      </c>
      <c r="F24" s="309">
        <f t="shared" si="8"/>
        <v>121.53172913465568</v>
      </c>
      <c r="G24" s="310">
        <f t="shared" si="9"/>
        <v>117.28515587236059</v>
      </c>
      <c r="H24" s="311">
        <f t="shared" si="10"/>
        <v>148.42634118715418</v>
      </c>
      <c r="I24" s="306">
        <f t="shared" si="11"/>
        <v>0.29205154028435998</v>
      </c>
      <c r="J24" s="307">
        <f t="shared" si="12"/>
        <v>0.25069405496231389</v>
      </c>
      <c r="K24" s="308">
        <f t="shared" si="13"/>
        <v>-1.8668128160022723E-2</v>
      </c>
      <c r="N24" s="312">
        <f t="shared" si="0"/>
        <v>1938</v>
      </c>
      <c r="O24" s="313">
        <f t="shared" si="1"/>
        <v>121.53172913465568</v>
      </c>
      <c r="P24" s="313">
        <f t="shared" si="2"/>
        <v>117.28515587236059</v>
      </c>
      <c r="Q24" s="314">
        <f t="shared" si="3"/>
        <v>148.42634118715418</v>
      </c>
      <c r="S24" s="312">
        <f t="shared" si="4"/>
        <v>1938</v>
      </c>
      <c r="T24" s="315">
        <f t="shared" si="5"/>
        <v>0.29282654028436</v>
      </c>
      <c r="U24" s="315">
        <f t="shared" si="6"/>
        <v>7.7499999999999997E-4</v>
      </c>
      <c r="V24" s="316">
        <f t="shared" si="7"/>
        <v>4.2132485322046102E-2</v>
      </c>
    </row>
    <row r="25" spans="2:22">
      <c r="B25" s="305">
        <v>1939</v>
      </c>
      <c r="C25" s="306">
        <v>-1.09756468797564E-2</v>
      </c>
      <c r="D25" s="307">
        <v>3.7500000000000001E-4</v>
      </c>
      <c r="E25" s="308">
        <v>4.4122613942060698E-2</v>
      </c>
      <c r="F25" s="309">
        <f t="shared" si="8"/>
        <v>120.1978397909875</v>
      </c>
      <c r="G25" s="310">
        <f t="shared" si="9"/>
        <v>117.32913780581272</v>
      </c>
      <c r="H25" s="311">
        <f t="shared" si="10"/>
        <v>154.97529933818757</v>
      </c>
      <c r="I25" s="306">
        <f t="shared" si="11"/>
        <v>-1.13506468797564E-2</v>
      </c>
      <c r="J25" s="307">
        <f t="shared" si="12"/>
        <v>-5.5098260821817097E-2</v>
      </c>
      <c r="K25" s="308">
        <f t="shared" si="13"/>
        <v>-2.1733706041856093E-2</v>
      </c>
      <c r="N25" s="312">
        <f t="shared" si="0"/>
        <v>1939</v>
      </c>
      <c r="O25" s="313">
        <f t="shared" si="1"/>
        <v>120.1978397909875</v>
      </c>
      <c r="P25" s="313">
        <f t="shared" si="2"/>
        <v>117.32913780581272</v>
      </c>
      <c r="Q25" s="314">
        <f t="shared" si="3"/>
        <v>154.97529933818757</v>
      </c>
      <c r="S25" s="312">
        <f t="shared" si="4"/>
        <v>1939</v>
      </c>
      <c r="T25" s="315">
        <f t="shared" si="5"/>
        <v>-1.09756468797564E-2</v>
      </c>
      <c r="U25" s="315">
        <f t="shared" si="6"/>
        <v>3.7500000000000001E-4</v>
      </c>
      <c r="V25" s="316">
        <f t="shared" si="7"/>
        <v>4.4122613942060698E-2</v>
      </c>
    </row>
    <row r="26" spans="2:22">
      <c r="B26" s="305">
        <v>1940</v>
      </c>
      <c r="C26" s="306">
        <v>-0.10672873194221499</v>
      </c>
      <c r="D26" s="307">
        <v>2.5000000000000001E-4</v>
      </c>
      <c r="E26" s="308">
        <v>5.4024815962845502E-2</v>
      </c>
      <c r="F26" s="309">
        <f t="shared" si="8"/>
        <v>107.36927676790189</v>
      </c>
      <c r="G26" s="310">
        <f t="shared" si="9"/>
        <v>117.35847009026418</v>
      </c>
      <c r="H26" s="311">
        <f t="shared" si="10"/>
        <v>163.34781136372007</v>
      </c>
      <c r="I26" s="306">
        <f t="shared" si="11"/>
        <v>-0.10697873194221499</v>
      </c>
      <c r="J26" s="307">
        <f t="shared" si="12"/>
        <v>-0.1607535479050605</v>
      </c>
      <c r="K26" s="308">
        <f t="shared" si="13"/>
        <v>-3.2983996027224682E-2</v>
      </c>
      <c r="N26" s="312">
        <f t="shared" si="0"/>
        <v>1940</v>
      </c>
      <c r="O26" s="313">
        <f t="shared" si="1"/>
        <v>107.36927676790189</v>
      </c>
      <c r="P26" s="313">
        <f t="shared" si="2"/>
        <v>117.35847009026418</v>
      </c>
      <c r="Q26" s="314">
        <f t="shared" si="3"/>
        <v>163.34781136372007</v>
      </c>
      <c r="S26" s="312">
        <f t="shared" si="4"/>
        <v>1940</v>
      </c>
      <c r="T26" s="315">
        <f t="shared" si="5"/>
        <v>-0.10672873194221499</v>
      </c>
      <c r="U26" s="315">
        <f t="shared" si="6"/>
        <v>2.5000000000000001E-4</v>
      </c>
      <c r="V26" s="316">
        <f t="shared" si="7"/>
        <v>5.4024815962845502E-2</v>
      </c>
    </row>
    <row r="27" spans="2:22">
      <c r="B27" s="305">
        <v>1941</v>
      </c>
      <c r="C27" s="306">
        <v>-0.12771455576559601</v>
      </c>
      <c r="D27" s="307">
        <v>8.25E-4</v>
      </c>
      <c r="E27" s="308">
        <v>-2.0221975848580102E-2</v>
      </c>
      <c r="F27" s="309">
        <f t="shared" si="8"/>
        <v>93.656657282615981</v>
      </c>
      <c r="G27" s="310">
        <f t="shared" si="9"/>
        <v>117.45529082808865</v>
      </c>
      <c r="H27" s="311">
        <f t="shared" si="10"/>
        <v>160.0445958674045</v>
      </c>
      <c r="I27" s="306">
        <f t="shared" si="11"/>
        <v>-0.128539555765596</v>
      </c>
      <c r="J27" s="307">
        <f t="shared" si="12"/>
        <v>-0.10749257991701591</v>
      </c>
      <c r="K27" s="308">
        <f t="shared" si="13"/>
        <v>-3.883227135855416E-2</v>
      </c>
      <c r="N27" s="312">
        <f t="shared" si="0"/>
        <v>1941</v>
      </c>
      <c r="O27" s="313">
        <f t="shared" si="1"/>
        <v>93.656657282615981</v>
      </c>
      <c r="P27" s="313">
        <f t="shared" si="2"/>
        <v>117.45529082808865</v>
      </c>
      <c r="Q27" s="314">
        <f t="shared" si="3"/>
        <v>160.0445958674045</v>
      </c>
      <c r="S27" s="312">
        <f t="shared" si="4"/>
        <v>1941</v>
      </c>
      <c r="T27" s="315">
        <f t="shared" si="5"/>
        <v>-0.12771455576559601</v>
      </c>
      <c r="U27" s="315">
        <f t="shared" si="6"/>
        <v>8.25E-4</v>
      </c>
      <c r="V27" s="316">
        <f t="shared" si="7"/>
        <v>-2.0221975848580102E-2</v>
      </c>
    </row>
    <row r="28" spans="2:22">
      <c r="B28" s="305">
        <v>1942</v>
      </c>
      <c r="C28" s="306">
        <v>0.19173762945914799</v>
      </c>
      <c r="D28" s="307">
        <v>3.375E-3</v>
      </c>
      <c r="E28" s="308">
        <v>2.2948682374484199E-2</v>
      </c>
      <c r="F28" s="309">
        <f t="shared" si="8"/>
        <v>111.61416273305261</v>
      </c>
      <c r="G28" s="310">
        <f t="shared" si="9"/>
        <v>117.85170243463344</v>
      </c>
      <c r="H28" s="311">
        <f t="shared" si="10"/>
        <v>163.71740846371824</v>
      </c>
      <c r="I28" s="306">
        <f t="shared" si="11"/>
        <v>0.188362629459148</v>
      </c>
      <c r="J28" s="307">
        <f t="shared" si="12"/>
        <v>0.1687889470846638</v>
      </c>
      <c r="K28" s="308">
        <f t="shared" si="13"/>
        <v>-2.6058708674502107E-2</v>
      </c>
      <c r="N28" s="312">
        <f t="shared" si="0"/>
        <v>1942</v>
      </c>
      <c r="O28" s="313">
        <f t="shared" si="1"/>
        <v>111.61416273305261</v>
      </c>
      <c r="P28" s="313">
        <f t="shared" si="2"/>
        <v>117.85170243463344</v>
      </c>
      <c r="Q28" s="314">
        <f t="shared" si="3"/>
        <v>163.71740846371824</v>
      </c>
      <c r="S28" s="312">
        <f t="shared" si="4"/>
        <v>1942</v>
      </c>
      <c r="T28" s="315">
        <f t="shared" si="5"/>
        <v>0.19173762945914799</v>
      </c>
      <c r="U28" s="315">
        <f t="shared" si="6"/>
        <v>3.375E-3</v>
      </c>
      <c r="V28" s="316">
        <f t="shared" si="7"/>
        <v>2.2948682374484199E-2</v>
      </c>
    </row>
    <row r="29" spans="2:22">
      <c r="B29" s="305">
        <v>1943</v>
      </c>
      <c r="C29" s="306">
        <v>0.25061310133060399</v>
      </c>
      <c r="D29" s="307">
        <v>3.8E-3</v>
      </c>
      <c r="E29" s="308">
        <v>2.4899999999999999E-2</v>
      </c>
      <c r="F29" s="309">
        <f t="shared" si="8"/>
        <v>139.58613420800162</v>
      </c>
      <c r="G29" s="310">
        <f t="shared" si="9"/>
        <v>118.29953890388505</v>
      </c>
      <c r="H29" s="311">
        <f t="shared" si="10"/>
        <v>167.79397193446482</v>
      </c>
      <c r="I29" s="306">
        <f t="shared" si="11"/>
        <v>0.246813101330604</v>
      </c>
      <c r="J29" s="307">
        <f t="shared" si="12"/>
        <v>0.22571310133060399</v>
      </c>
      <c r="K29" s="308">
        <f t="shared" si="13"/>
        <v>-1.1813555758971583E-2</v>
      </c>
      <c r="N29" s="312">
        <f t="shared" si="0"/>
        <v>1943</v>
      </c>
      <c r="O29" s="313">
        <f t="shared" si="1"/>
        <v>139.58613420800162</v>
      </c>
      <c r="P29" s="313">
        <f t="shared" si="2"/>
        <v>118.29953890388505</v>
      </c>
      <c r="Q29" s="314">
        <f t="shared" si="3"/>
        <v>167.79397193446482</v>
      </c>
      <c r="S29" s="312">
        <f t="shared" si="4"/>
        <v>1943</v>
      </c>
      <c r="T29" s="315">
        <f t="shared" si="5"/>
        <v>0.25061310133060399</v>
      </c>
      <c r="U29" s="315">
        <f t="shared" si="6"/>
        <v>3.8E-3</v>
      </c>
      <c r="V29" s="316">
        <f t="shared" si="7"/>
        <v>2.4899999999999999E-2</v>
      </c>
    </row>
    <row r="30" spans="2:22">
      <c r="B30" s="305">
        <v>1944</v>
      </c>
      <c r="C30" s="306">
        <v>0.19030676949443001</v>
      </c>
      <c r="D30" s="307">
        <v>3.8E-3</v>
      </c>
      <c r="E30" s="308">
        <v>2.57761115790703E-2</v>
      </c>
      <c r="F30" s="309">
        <f t="shared" si="8"/>
        <v>166.15032047534237</v>
      </c>
      <c r="G30" s="310">
        <f t="shared" si="9"/>
        <v>118.74907715171982</v>
      </c>
      <c r="H30" s="311">
        <f t="shared" si="10"/>
        <v>172.11904807734297</v>
      </c>
      <c r="I30" s="306">
        <f t="shared" si="11"/>
        <v>0.18650676949443001</v>
      </c>
      <c r="J30" s="307">
        <f t="shared" si="12"/>
        <v>0.1645306579153597</v>
      </c>
      <c r="K30" s="308">
        <f t="shared" si="13"/>
        <v>-2.1412471126853738E-3</v>
      </c>
      <c r="N30" s="312">
        <f t="shared" si="0"/>
        <v>1944</v>
      </c>
      <c r="O30" s="313">
        <f t="shared" si="1"/>
        <v>166.15032047534237</v>
      </c>
      <c r="P30" s="313">
        <f t="shared" si="2"/>
        <v>118.74907715171982</v>
      </c>
      <c r="Q30" s="314">
        <f t="shared" si="3"/>
        <v>172.11904807734297</v>
      </c>
      <c r="S30" s="312">
        <f t="shared" si="4"/>
        <v>1944</v>
      </c>
      <c r="T30" s="315">
        <f t="shared" si="5"/>
        <v>0.19030676949443001</v>
      </c>
      <c r="U30" s="315">
        <f t="shared" si="6"/>
        <v>3.8E-3</v>
      </c>
      <c r="V30" s="316">
        <f t="shared" si="7"/>
        <v>2.57761115790703E-2</v>
      </c>
    </row>
    <row r="31" spans="2:22">
      <c r="B31" s="305">
        <v>1945</v>
      </c>
      <c r="C31" s="306">
        <v>0.35821084337349401</v>
      </c>
      <c r="D31" s="307">
        <v>3.8E-3</v>
      </c>
      <c r="E31" s="308">
        <v>3.8044173419237201E-2</v>
      </c>
      <c r="F31" s="309">
        <f t="shared" si="8"/>
        <v>225.66716689959108</v>
      </c>
      <c r="G31" s="310">
        <f t="shared" si="9"/>
        <v>119.20032364489636</v>
      </c>
      <c r="H31" s="311">
        <f t="shared" si="10"/>
        <v>178.66717499115143</v>
      </c>
      <c r="I31" s="306">
        <f t="shared" si="11"/>
        <v>0.35441084337349399</v>
      </c>
      <c r="J31" s="307">
        <f t="shared" si="12"/>
        <v>0.3201666699542568</v>
      </c>
      <c r="K31" s="308">
        <f t="shared" si="13"/>
        <v>1.3486681052170102E-2</v>
      </c>
      <c r="N31" s="312">
        <f t="shared" si="0"/>
        <v>1945</v>
      </c>
      <c r="O31" s="313">
        <f t="shared" si="1"/>
        <v>225.66716689959108</v>
      </c>
      <c r="P31" s="313">
        <f t="shared" si="2"/>
        <v>119.20032364489636</v>
      </c>
      <c r="Q31" s="314">
        <f t="shared" si="3"/>
        <v>178.66717499115143</v>
      </c>
      <c r="S31" s="312">
        <f t="shared" si="4"/>
        <v>1945</v>
      </c>
      <c r="T31" s="315">
        <f t="shared" si="5"/>
        <v>0.35821084337349401</v>
      </c>
      <c r="U31" s="315">
        <f t="shared" si="6"/>
        <v>3.8E-3</v>
      </c>
      <c r="V31" s="316">
        <f t="shared" si="7"/>
        <v>3.8044173419237201E-2</v>
      </c>
    </row>
    <row r="32" spans="2:22">
      <c r="B32" s="305">
        <v>1946</v>
      </c>
      <c r="C32" s="306">
        <v>-8.4291474654377793E-2</v>
      </c>
      <c r="D32" s="307">
        <v>3.8E-3</v>
      </c>
      <c r="E32" s="308">
        <v>3.1283745375695698E-2</v>
      </c>
      <c r="F32" s="309">
        <f t="shared" si="8"/>
        <v>206.64534862054896</v>
      </c>
      <c r="G32" s="310">
        <f t="shared" si="9"/>
        <v>119.65328487474697</v>
      </c>
      <c r="H32" s="311">
        <f t="shared" si="10"/>
        <v>184.25655340056949</v>
      </c>
      <c r="I32" s="306">
        <f t="shared" si="11"/>
        <v>-8.8091474654377791E-2</v>
      </c>
      <c r="J32" s="307">
        <f t="shared" si="12"/>
        <v>-0.11557522003007349</v>
      </c>
      <c r="K32" s="308">
        <f t="shared" si="13"/>
        <v>6.2516662097444886E-3</v>
      </c>
      <c r="N32" s="312">
        <f t="shared" si="0"/>
        <v>1946</v>
      </c>
      <c r="O32" s="313">
        <f t="shared" si="1"/>
        <v>206.64534862054896</v>
      </c>
      <c r="P32" s="313">
        <f t="shared" si="2"/>
        <v>119.65328487474697</v>
      </c>
      <c r="Q32" s="314">
        <f t="shared" si="3"/>
        <v>184.25655340056949</v>
      </c>
      <c r="S32" s="312">
        <f t="shared" si="4"/>
        <v>1946</v>
      </c>
      <c r="T32" s="315">
        <f t="shared" si="5"/>
        <v>-8.4291474654377793E-2</v>
      </c>
      <c r="U32" s="315">
        <f t="shared" si="6"/>
        <v>3.8E-3</v>
      </c>
      <c r="V32" s="316">
        <f t="shared" si="7"/>
        <v>3.1283745375695698E-2</v>
      </c>
    </row>
    <row r="33" spans="2:22">
      <c r="B33" s="305">
        <v>1947</v>
      </c>
      <c r="C33" s="306">
        <v>5.1999999999999998E-2</v>
      </c>
      <c r="D33" s="307">
        <v>5.6750000000000004E-3</v>
      </c>
      <c r="E33" s="308">
        <v>9.1969680628322392E-3</v>
      </c>
      <c r="F33" s="309">
        <f t="shared" si="8"/>
        <v>217.39090674881751</v>
      </c>
      <c r="G33" s="310">
        <f t="shared" si="9"/>
        <v>120.33231726641117</v>
      </c>
      <c r="H33" s="311">
        <f t="shared" si="10"/>
        <v>185.95115503756207</v>
      </c>
      <c r="I33" s="306">
        <f t="shared" si="11"/>
        <v>4.6324999999999998E-2</v>
      </c>
      <c r="J33" s="307">
        <f t="shared" si="12"/>
        <v>4.2803031937167758E-2</v>
      </c>
      <c r="K33" s="308">
        <f t="shared" si="13"/>
        <v>8.0882507415378502E-3</v>
      </c>
      <c r="N33" s="312">
        <f t="shared" si="0"/>
        <v>1947</v>
      </c>
      <c r="O33" s="313">
        <f t="shared" si="1"/>
        <v>217.39090674881751</v>
      </c>
      <c r="P33" s="313">
        <f t="shared" si="2"/>
        <v>120.33231726641117</v>
      </c>
      <c r="Q33" s="314">
        <f t="shared" si="3"/>
        <v>185.95115503756207</v>
      </c>
      <c r="S33" s="312">
        <f t="shared" si="4"/>
        <v>1947</v>
      </c>
      <c r="T33" s="315">
        <f t="shared" si="5"/>
        <v>5.1999999999999998E-2</v>
      </c>
      <c r="U33" s="315">
        <f t="shared" si="6"/>
        <v>5.6750000000000004E-3</v>
      </c>
      <c r="V33" s="316">
        <f t="shared" si="7"/>
        <v>9.1969680628322392E-3</v>
      </c>
    </row>
    <row r="34" spans="2:22">
      <c r="B34" s="305">
        <v>1948</v>
      </c>
      <c r="C34" s="306">
        <v>5.7045751633986799E-2</v>
      </c>
      <c r="D34" s="307">
        <v>1.0225E-2</v>
      </c>
      <c r="E34" s="308">
        <v>1.9510369413175001E-2</v>
      </c>
      <c r="F34" s="309">
        <f t="shared" si="8"/>
        <v>229.79213442269776</v>
      </c>
      <c r="G34" s="310">
        <f t="shared" si="9"/>
        <v>121.56271521046021</v>
      </c>
      <c r="H34" s="311">
        <f t="shared" si="10"/>
        <v>189.57913076515149</v>
      </c>
      <c r="I34" s="306">
        <f t="shared" si="11"/>
        <v>4.6820751633986801E-2</v>
      </c>
      <c r="J34" s="307">
        <f t="shared" si="12"/>
        <v>3.7535382220811798E-2</v>
      </c>
      <c r="K34" s="308">
        <f t="shared" si="13"/>
        <v>9.487105674721219E-3</v>
      </c>
      <c r="N34" s="312">
        <f t="shared" si="0"/>
        <v>1948</v>
      </c>
      <c r="O34" s="313">
        <f t="shared" si="1"/>
        <v>229.79213442269776</v>
      </c>
      <c r="P34" s="313">
        <f t="shared" si="2"/>
        <v>121.56271521046021</v>
      </c>
      <c r="Q34" s="314">
        <f t="shared" si="3"/>
        <v>189.57913076515149</v>
      </c>
      <c r="S34" s="312">
        <f t="shared" si="4"/>
        <v>1948</v>
      </c>
      <c r="T34" s="315">
        <f t="shared" si="5"/>
        <v>5.7045751633986799E-2</v>
      </c>
      <c r="U34" s="315">
        <f t="shared" si="6"/>
        <v>1.0225E-2</v>
      </c>
      <c r="V34" s="316">
        <f t="shared" si="7"/>
        <v>1.9510369413175001E-2</v>
      </c>
    </row>
    <row r="35" spans="2:22">
      <c r="B35" s="305">
        <v>1949</v>
      </c>
      <c r="C35" s="306">
        <v>0.18303223684210501</v>
      </c>
      <c r="D35" s="307">
        <v>1.1025E-2</v>
      </c>
      <c r="E35" s="308">
        <v>4.6634851827973098E-2</v>
      </c>
      <c r="F35" s="309">
        <f t="shared" si="8"/>
        <v>271.85150279480575</v>
      </c>
      <c r="G35" s="310">
        <f t="shared" si="9"/>
        <v>122.90294414565554</v>
      </c>
      <c r="H35" s="311">
        <f t="shared" si="10"/>
        <v>198.42012543806027</v>
      </c>
      <c r="I35" s="306">
        <f t="shared" si="11"/>
        <v>0.172007236842105</v>
      </c>
      <c r="J35" s="307">
        <f t="shared" si="12"/>
        <v>0.1363973850141319</v>
      </c>
      <c r="K35" s="308">
        <f t="shared" si="13"/>
        <v>1.4871195801565706E-2</v>
      </c>
      <c r="N35" s="312">
        <f t="shared" si="0"/>
        <v>1949</v>
      </c>
      <c r="O35" s="313">
        <f t="shared" si="1"/>
        <v>271.85150279480575</v>
      </c>
      <c r="P35" s="313">
        <f t="shared" si="2"/>
        <v>122.90294414565554</v>
      </c>
      <c r="Q35" s="314">
        <f t="shared" si="3"/>
        <v>198.42012543806027</v>
      </c>
      <c r="S35" s="312">
        <f t="shared" si="4"/>
        <v>1949</v>
      </c>
      <c r="T35" s="315">
        <f t="shared" si="5"/>
        <v>0.18303223684210501</v>
      </c>
      <c r="U35" s="315">
        <f t="shared" si="6"/>
        <v>1.1025E-2</v>
      </c>
      <c r="V35" s="316">
        <f t="shared" si="7"/>
        <v>4.6634851827973098E-2</v>
      </c>
    </row>
    <row r="36" spans="2:22">
      <c r="B36" s="305">
        <v>1950</v>
      </c>
      <c r="C36" s="306">
        <v>0.30805539011316302</v>
      </c>
      <c r="D36" s="307">
        <v>1.1724999999999999E-2</v>
      </c>
      <c r="E36" s="308">
        <v>4.2959574171096103E-3</v>
      </c>
      <c r="F36" s="309">
        <f t="shared" si="8"/>
        <v>355.5968235411093</v>
      </c>
      <c r="G36" s="310">
        <f t="shared" si="9"/>
        <v>124.34398116576335</v>
      </c>
      <c r="H36" s="311">
        <f t="shared" si="10"/>
        <v>199.2725298476397</v>
      </c>
      <c r="I36" s="306">
        <f t="shared" si="11"/>
        <v>0.29633039011316303</v>
      </c>
      <c r="J36" s="307">
        <f t="shared" si="12"/>
        <v>0.30375943269605343</v>
      </c>
      <c r="K36" s="308">
        <f t="shared" si="13"/>
        <v>2.627498104881365E-2</v>
      </c>
      <c r="N36" s="312">
        <f t="shared" si="0"/>
        <v>1950</v>
      </c>
      <c r="O36" s="313">
        <f t="shared" si="1"/>
        <v>355.5968235411093</v>
      </c>
      <c r="P36" s="313">
        <f t="shared" si="2"/>
        <v>124.34398116576335</v>
      </c>
      <c r="Q36" s="314">
        <f t="shared" si="3"/>
        <v>199.2725298476397</v>
      </c>
      <c r="S36" s="312">
        <f t="shared" si="4"/>
        <v>1950</v>
      </c>
      <c r="T36" s="315">
        <f t="shared" si="5"/>
        <v>0.30805539011316302</v>
      </c>
      <c r="U36" s="315">
        <f t="shared" si="6"/>
        <v>1.1724999999999999E-2</v>
      </c>
      <c r="V36" s="316">
        <f t="shared" si="7"/>
        <v>4.2959574171096103E-3</v>
      </c>
    </row>
    <row r="37" spans="2:22">
      <c r="B37" s="305">
        <v>1951</v>
      </c>
      <c r="C37" s="306">
        <v>0.236784630445423</v>
      </c>
      <c r="D37" s="307">
        <v>1.4775E-2</v>
      </c>
      <c r="E37" s="308">
        <v>-2.9531392208319899E-3</v>
      </c>
      <c r="F37" s="309">
        <f t="shared" si="8"/>
        <v>439.79668599085721</v>
      </c>
      <c r="G37" s="310">
        <f t="shared" si="9"/>
        <v>126.18116348748751</v>
      </c>
      <c r="H37" s="311">
        <f t="shared" si="10"/>
        <v>198.68405032411223</v>
      </c>
      <c r="I37" s="306">
        <f t="shared" si="11"/>
        <v>0.22200963044542299</v>
      </c>
      <c r="J37" s="307">
        <f t="shared" si="12"/>
        <v>0.23973776966625499</v>
      </c>
      <c r="K37" s="308">
        <f t="shared" si="13"/>
        <v>3.4639223191111679E-2</v>
      </c>
      <c r="N37" s="312">
        <f t="shared" si="0"/>
        <v>1951</v>
      </c>
      <c r="O37" s="313">
        <f t="shared" si="1"/>
        <v>439.79668599085721</v>
      </c>
      <c r="P37" s="313">
        <f t="shared" si="2"/>
        <v>126.18116348748751</v>
      </c>
      <c r="Q37" s="314">
        <f t="shared" si="3"/>
        <v>198.68405032411223</v>
      </c>
      <c r="S37" s="312">
        <f t="shared" si="4"/>
        <v>1951</v>
      </c>
      <c r="T37" s="315">
        <f t="shared" si="5"/>
        <v>0.236784630445423</v>
      </c>
      <c r="U37" s="315">
        <f t="shared" si="6"/>
        <v>1.4775E-2</v>
      </c>
      <c r="V37" s="316">
        <f t="shared" si="7"/>
        <v>-2.9531392208319899E-3</v>
      </c>
    </row>
    <row r="38" spans="2:22">
      <c r="B38" s="305">
        <v>1952</v>
      </c>
      <c r="C38" s="306">
        <v>0.181509886411443</v>
      </c>
      <c r="D38" s="307">
        <v>1.6725E-2</v>
      </c>
      <c r="E38" s="308">
        <v>2.2679961918305701E-2</v>
      </c>
      <c r="F38" s="309">
        <f t="shared" si="8"/>
        <v>519.62413250918678</v>
      </c>
      <c r="G38" s="310">
        <f t="shared" si="9"/>
        <v>128.29154344681575</v>
      </c>
      <c r="H38" s="311">
        <f t="shared" si="10"/>
        <v>203.19019701923784</v>
      </c>
      <c r="I38" s="306">
        <f t="shared" si="11"/>
        <v>0.16478488641144301</v>
      </c>
      <c r="J38" s="307">
        <f t="shared" si="12"/>
        <v>0.15882992449313729</v>
      </c>
      <c r="K38" s="308">
        <f t="shared" si="13"/>
        <v>3.9373675397261998E-2</v>
      </c>
      <c r="N38" s="312">
        <f t="shared" si="0"/>
        <v>1952</v>
      </c>
      <c r="O38" s="313">
        <f t="shared" si="1"/>
        <v>519.62413250918678</v>
      </c>
      <c r="P38" s="313">
        <f t="shared" si="2"/>
        <v>128.29154344681575</v>
      </c>
      <c r="Q38" s="314">
        <f t="shared" si="3"/>
        <v>203.19019701923784</v>
      </c>
      <c r="S38" s="312">
        <f t="shared" si="4"/>
        <v>1952</v>
      </c>
      <c r="T38" s="315">
        <f t="shared" si="5"/>
        <v>0.181509886411443</v>
      </c>
      <c r="U38" s="315">
        <f t="shared" si="6"/>
        <v>1.6725E-2</v>
      </c>
      <c r="V38" s="316">
        <f t="shared" si="7"/>
        <v>2.2679961918305701E-2</v>
      </c>
    </row>
    <row r="39" spans="2:22">
      <c r="B39" s="305">
        <v>1953</v>
      </c>
      <c r="C39" s="306">
        <v>-1.2082047421904499E-2</v>
      </c>
      <c r="D39" s="307">
        <v>1.8925000000000001E-2</v>
      </c>
      <c r="E39" s="308">
        <v>4.1438402589088499E-2</v>
      </c>
      <c r="F39" s="309">
        <f t="shared" si="8"/>
        <v>513.3460090986448</v>
      </c>
      <c r="G39" s="310">
        <f t="shared" si="9"/>
        <v>130.71946090654674</v>
      </c>
      <c r="H39" s="311">
        <f t="shared" si="10"/>
        <v>211.61007420547725</v>
      </c>
      <c r="I39" s="306">
        <f t="shared" si="11"/>
        <v>-3.10070474219045E-2</v>
      </c>
      <c r="J39" s="307">
        <f t="shared" si="12"/>
        <v>-5.3520450010992995E-2</v>
      </c>
      <c r="K39" s="308">
        <f t="shared" si="13"/>
        <v>3.5686488577002518E-2</v>
      </c>
      <c r="N39" s="312">
        <f t="shared" si="0"/>
        <v>1953</v>
      </c>
      <c r="O39" s="313">
        <f t="shared" si="1"/>
        <v>513.3460090986448</v>
      </c>
      <c r="P39" s="313">
        <f t="shared" si="2"/>
        <v>130.71946090654674</v>
      </c>
      <c r="Q39" s="314">
        <f t="shared" si="3"/>
        <v>211.61007420547725</v>
      </c>
      <c r="S39" s="312">
        <f t="shared" si="4"/>
        <v>1953</v>
      </c>
      <c r="T39" s="315">
        <f t="shared" si="5"/>
        <v>-1.2082047421904499E-2</v>
      </c>
      <c r="U39" s="315">
        <f t="shared" si="6"/>
        <v>1.8925000000000001E-2</v>
      </c>
      <c r="V39" s="316">
        <f t="shared" si="7"/>
        <v>4.1438402589088499E-2</v>
      </c>
    </row>
    <row r="40" spans="2:22">
      <c r="B40" s="305">
        <v>1954</v>
      </c>
      <c r="C40" s="306">
        <v>0.52563321241434902</v>
      </c>
      <c r="D40" s="307">
        <v>9.6249999999999999E-3</v>
      </c>
      <c r="E40" s="308">
        <v>3.2898034558095597E-2</v>
      </c>
      <c r="F40" s="309">
        <f t="shared" si="8"/>
        <v>783.1777209412511</v>
      </c>
      <c r="G40" s="310">
        <f t="shared" si="9"/>
        <v>131.97763571777224</v>
      </c>
      <c r="H40" s="311">
        <f t="shared" si="10"/>
        <v>218.57162973953021</v>
      </c>
      <c r="I40" s="306">
        <f t="shared" si="11"/>
        <v>0.51600821241434902</v>
      </c>
      <c r="J40" s="307">
        <f t="shared" si="12"/>
        <v>0.49273517785625343</v>
      </c>
      <c r="K40" s="308">
        <f t="shared" si="13"/>
        <v>4.9825624974107807E-2</v>
      </c>
      <c r="N40" s="312">
        <f t="shared" si="0"/>
        <v>1954</v>
      </c>
      <c r="O40" s="313">
        <f t="shared" si="1"/>
        <v>783.1777209412511</v>
      </c>
      <c r="P40" s="313">
        <f t="shared" si="2"/>
        <v>131.97763571777224</v>
      </c>
      <c r="Q40" s="314">
        <f t="shared" si="3"/>
        <v>218.57162973953021</v>
      </c>
      <c r="S40" s="312">
        <f t="shared" si="4"/>
        <v>1954</v>
      </c>
      <c r="T40" s="315">
        <f t="shared" si="5"/>
        <v>0.52563321241434902</v>
      </c>
      <c r="U40" s="315">
        <f t="shared" si="6"/>
        <v>9.6249999999999999E-3</v>
      </c>
      <c r="V40" s="316">
        <f t="shared" si="7"/>
        <v>3.2898034558095597E-2</v>
      </c>
    </row>
    <row r="41" spans="2:22">
      <c r="B41" s="305">
        <v>1955</v>
      </c>
      <c r="C41" s="306">
        <v>0.32597331851028299</v>
      </c>
      <c r="D41" s="307">
        <v>1.66E-2</v>
      </c>
      <c r="E41" s="308">
        <v>-1.3364391288618801E-2</v>
      </c>
      <c r="F41" s="309">
        <f t="shared" si="8"/>
        <v>1038.4727616197911</v>
      </c>
      <c r="G41" s="310">
        <f t="shared" si="9"/>
        <v>134.16846447068727</v>
      </c>
      <c r="H41" s="311">
        <f t="shared" si="10"/>
        <v>215.65055295510001</v>
      </c>
      <c r="I41" s="306">
        <f t="shared" si="11"/>
        <v>0.30937331851028299</v>
      </c>
      <c r="J41" s="307">
        <f t="shared" si="12"/>
        <v>0.33933770979890182</v>
      </c>
      <c r="K41" s="308">
        <f t="shared" si="13"/>
        <v>5.9349770488296594E-2</v>
      </c>
      <c r="N41" s="312">
        <f t="shared" si="0"/>
        <v>1955</v>
      </c>
      <c r="O41" s="313">
        <f t="shared" si="1"/>
        <v>1038.4727616197911</v>
      </c>
      <c r="P41" s="313">
        <f t="shared" si="2"/>
        <v>134.16846447068727</v>
      </c>
      <c r="Q41" s="314">
        <f t="shared" si="3"/>
        <v>215.65055295510001</v>
      </c>
      <c r="S41" s="312">
        <f t="shared" si="4"/>
        <v>1955</v>
      </c>
      <c r="T41" s="315">
        <f t="shared" si="5"/>
        <v>0.32597331851028299</v>
      </c>
      <c r="U41" s="315">
        <f t="shared" si="6"/>
        <v>1.66E-2</v>
      </c>
      <c r="V41" s="316">
        <f t="shared" si="7"/>
        <v>-1.3364391288618801E-2</v>
      </c>
    </row>
    <row r="42" spans="2:22">
      <c r="B42" s="305">
        <v>1956</v>
      </c>
      <c r="C42" s="306">
        <v>7.4395118733509305E-2</v>
      </c>
      <c r="D42" s="307">
        <v>2.555E-2</v>
      </c>
      <c r="E42" s="308">
        <v>-2.25577381731542E-2</v>
      </c>
      <c r="F42" s="309">
        <f t="shared" si="8"/>
        <v>1115.7300660220108</v>
      </c>
      <c r="G42" s="310">
        <f t="shared" si="9"/>
        <v>137.59646873791331</v>
      </c>
      <c r="H42" s="311">
        <f t="shared" si="10"/>
        <v>210.78596424464294</v>
      </c>
      <c r="I42" s="306">
        <f t="shared" si="11"/>
        <v>4.8845118733509302E-2</v>
      </c>
      <c r="J42" s="307">
        <f t="shared" si="12"/>
        <v>9.6952856906663498E-2</v>
      </c>
      <c r="K42" s="308">
        <f t="shared" si="13"/>
        <v>6.0686392964014679E-2</v>
      </c>
      <c r="N42" s="312">
        <f t="shared" si="0"/>
        <v>1956</v>
      </c>
      <c r="O42" s="313">
        <f t="shared" si="1"/>
        <v>1115.7300660220108</v>
      </c>
      <c r="P42" s="313">
        <f t="shared" si="2"/>
        <v>137.59646873791331</v>
      </c>
      <c r="Q42" s="314">
        <f t="shared" si="3"/>
        <v>210.78596424464294</v>
      </c>
      <c r="S42" s="312">
        <f t="shared" si="4"/>
        <v>1956</v>
      </c>
      <c r="T42" s="315">
        <f t="shared" si="5"/>
        <v>7.4395118733509305E-2</v>
      </c>
      <c r="U42" s="315">
        <f t="shared" si="6"/>
        <v>2.555E-2</v>
      </c>
      <c r="V42" s="316">
        <f t="shared" si="7"/>
        <v>-2.25577381731542E-2</v>
      </c>
    </row>
    <row r="43" spans="2:22">
      <c r="B43" s="305">
        <v>1957</v>
      </c>
      <c r="C43" s="306">
        <v>-0.10457360188558</v>
      </c>
      <c r="D43" s="307">
        <v>3.2300000000000002E-2</v>
      </c>
      <c r="E43" s="308">
        <v>6.7970128466249904E-2</v>
      </c>
      <c r="F43" s="309">
        <f t="shared" si="8"/>
        <v>999.05415428605318</v>
      </c>
      <c r="G43" s="310">
        <f t="shared" si="9"/>
        <v>142.04083467814792</v>
      </c>
      <c r="H43" s="311">
        <f t="shared" si="10"/>
        <v>225.1131133132337</v>
      </c>
      <c r="I43" s="306">
        <f t="shared" si="11"/>
        <v>-0.13687360188558001</v>
      </c>
      <c r="J43" s="307">
        <f t="shared" si="12"/>
        <v>-0.1725437303518299</v>
      </c>
      <c r="K43" s="308">
        <f t="shared" si="13"/>
        <v>5.2324231837704849E-2</v>
      </c>
      <c r="N43" s="312">
        <f t="shared" si="0"/>
        <v>1957</v>
      </c>
      <c r="O43" s="313">
        <f t="shared" si="1"/>
        <v>999.05415428605318</v>
      </c>
      <c r="P43" s="313">
        <f t="shared" si="2"/>
        <v>142.04083467814792</v>
      </c>
      <c r="Q43" s="314">
        <f t="shared" si="3"/>
        <v>225.1131133132337</v>
      </c>
      <c r="S43" s="312">
        <f t="shared" si="4"/>
        <v>1957</v>
      </c>
      <c r="T43" s="315">
        <f t="shared" si="5"/>
        <v>-0.10457360188558</v>
      </c>
      <c r="U43" s="315">
        <f t="shared" si="6"/>
        <v>3.2300000000000002E-2</v>
      </c>
      <c r="V43" s="316">
        <f t="shared" si="7"/>
        <v>6.7970128466249904E-2</v>
      </c>
    </row>
    <row r="44" spans="2:22">
      <c r="B44" s="305">
        <v>1958</v>
      </c>
      <c r="C44" s="306">
        <v>0.43719954988747201</v>
      </c>
      <c r="D44" s="307">
        <v>1.7774999999999999E-2</v>
      </c>
      <c r="E44" s="308">
        <v>-2.0990181755274701E-2</v>
      </c>
      <c r="F44" s="309">
        <f t="shared" si="8"/>
        <v>1435.8401808531248</v>
      </c>
      <c r="G44" s="310">
        <f t="shared" si="9"/>
        <v>144.56561051455202</v>
      </c>
      <c r="H44" s="311">
        <f t="shared" si="10"/>
        <v>220.38794814929318</v>
      </c>
      <c r="I44" s="306">
        <f t="shared" si="11"/>
        <v>0.41942454988747202</v>
      </c>
      <c r="J44" s="307">
        <f t="shared" si="12"/>
        <v>0.45818973164274668</v>
      </c>
      <c r="K44" s="308">
        <f t="shared" si="13"/>
        <v>6.3929191402896546E-2</v>
      </c>
      <c r="N44" s="312">
        <f t="shared" si="0"/>
        <v>1958</v>
      </c>
      <c r="O44" s="313">
        <f t="shared" si="1"/>
        <v>1435.8401808531248</v>
      </c>
      <c r="P44" s="313">
        <f t="shared" si="2"/>
        <v>144.56561051455202</v>
      </c>
      <c r="Q44" s="314">
        <f t="shared" si="3"/>
        <v>220.38794814929318</v>
      </c>
      <c r="S44" s="312">
        <f t="shared" si="4"/>
        <v>1958</v>
      </c>
      <c r="T44" s="315">
        <f t="shared" si="5"/>
        <v>0.43719954988747201</v>
      </c>
      <c r="U44" s="315">
        <f t="shared" si="6"/>
        <v>1.7774999999999999E-2</v>
      </c>
      <c r="V44" s="316">
        <f t="shared" si="7"/>
        <v>-2.0990181755274701E-2</v>
      </c>
    </row>
    <row r="45" spans="2:22">
      <c r="B45" s="305">
        <v>1959</v>
      </c>
      <c r="C45" s="306">
        <v>0.12056457163557301</v>
      </c>
      <c r="D45" s="307">
        <v>3.2550000000000003E-2</v>
      </c>
      <c r="E45" s="308">
        <v>-2.6466312591385099E-2</v>
      </c>
      <c r="F45" s="309">
        <f t="shared" si="8"/>
        <v>1608.9516371948255</v>
      </c>
      <c r="G45" s="310">
        <f t="shared" si="9"/>
        <v>149.2712211368007</v>
      </c>
      <c r="H45" s="311">
        <f t="shared" si="10"/>
        <v>214.55509182220001</v>
      </c>
      <c r="I45" s="306">
        <f t="shared" si="11"/>
        <v>8.8014571635572997E-2</v>
      </c>
      <c r="J45" s="307">
        <f t="shared" si="12"/>
        <v>0.14703088422695809</v>
      </c>
      <c r="K45" s="308">
        <f t="shared" si="13"/>
        <v>6.6554908432773896E-2</v>
      </c>
      <c r="N45" s="312">
        <f t="shared" ref="N45:N76" si="14">B45</f>
        <v>1959</v>
      </c>
      <c r="O45" s="313">
        <f t="shared" ref="O45:O76" si="15">F45</f>
        <v>1608.9516371948255</v>
      </c>
      <c r="P45" s="313">
        <f t="shared" ref="P45:P76" si="16">G45</f>
        <v>149.2712211368007</v>
      </c>
      <c r="Q45" s="314">
        <f t="shared" ref="Q45:Q76" si="17">H45</f>
        <v>214.55509182220001</v>
      </c>
      <c r="S45" s="312">
        <f t="shared" ref="S45:S76" si="18">N45</f>
        <v>1959</v>
      </c>
      <c r="T45" s="315">
        <f t="shared" ref="T45:T76" si="19">C45</f>
        <v>0.12056457163557301</v>
      </c>
      <c r="U45" s="315">
        <f t="shared" ref="U45:U76" si="20">D45</f>
        <v>3.2550000000000003E-2</v>
      </c>
      <c r="V45" s="316">
        <f t="shared" ref="V45:V76" si="21">E45</f>
        <v>-2.6466312591385099E-2</v>
      </c>
    </row>
    <row r="46" spans="2:22">
      <c r="B46" s="305">
        <v>1960</v>
      </c>
      <c r="C46" s="306">
        <v>3.36535314743695E-3</v>
      </c>
      <c r="D46" s="307">
        <v>3.0450000000000001E-2</v>
      </c>
      <c r="E46" s="308">
        <v>0.116395036909634</v>
      </c>
      <c r="F46" s="309">
        <f t="shared" ref="F46:F77" si="22">F45*(1+C46)</f>
        <v>1614.3663276511329</v>
      </c>
      <c r="G46" s="310">
        <f t="shared" ref="G46:G77" si="23">G45*(1+D46)</f>
        <v>153.81652982041629</v>
      </c>
      <c r="H46" s="311">
        <f t="shared" ref="H46:H77" si="24">H45*(1+E46)</f>
        <v>239.52823965399492</v>
      </c>
      <c r="I46" s="306">
        <f t="shared" ref="I46:I77" si="25">C46-D46</f>
        <v>-2.7084646852563052E-2</v>
      </c>
      <c r="J46" s="307">
        <f t="shared" ref="J46:J77" si="26">C46-E46</f>
        <v>-0.11302968376219705</v>
      </c>
      <c r="K46" s="308">
        <f t="shared" ref="K46:K77" si="27">((F46/100)^(1/(B46-$B$13)))-((H46/100)^(1/(B46-$B$13)))</f>
        <v>6.1119788031217315E-2</v>
      </c>
      <c r="N46" s="312">
        <f t="shared" si="14"/>
        <v>1960</v>
      </c>
      <c r="O46" s="313">
        <f t="shared" si="15"/>
        <v>1614.3663276511329</v>
      </c>
      <c r="P46" s="313">
        <f t="shared" si="16"/>
        <v>153.81652982041629</v>
      </c>
      <c r="Q46" s="314">
        <f t="shared" si="17"/>
        <v>239.52823965399492</v>
      </c>
      <c r="S46" s="312">
        <f t="shared" si="18"/>
        <v>1960</v>
      </c>
      <c r="T46" s="315">
        <f t="shared" si="19"/>
        <v>3.36535314743695E-3</v>
      </c>
      <c r="U46" s="315">
        <f t="shared" si="20"/>
        <v>3.0450000000000001E-2</v>
      </c>
      <c r="V46" s="316">
        <f t="shared" si="21"/>
        <v>0.116395036909634</v>
      </c>
    </row>
    <row r="47" spans="2:22">
      <c r="B47" s="305">
        <v>1961</v>
      </c>
      <c r="C47" s="306">
        <v>0.26637712958182702</v>
      </c>
      <c r="D47" s="307">
        <v>2.2675000000000001E-2</v>
      </c>
      <c r="E47" s="308">
        <v>2.0609208076323202E-2</v>
      </c>
      <c r="F47" s="309">
        <f t="shared" si="22"/>
        <v>2044.3965961043968</v>
      </c>
      <c r="G47" s="310">
        <f t="shared" si="23"/>
        <v>157.30431963409424</v>
      </c>
      <c r="H47" s="311">
        <f t="shared" si="24"/>
        <v>244.46472698517951</v>
      </c>
      <c r="I47" s="306">
        <f t="shared" si="25"/>
        <v>0.24370212958182702</v>
      </c>
      <c r="J47" s="307">
        <f t="shared" si="26"/>
        <v>0.24576792150550381</v>
      </c>
      <c r="K47" s="308">
        <f t="shared" si="27"/>
        <v>6.6173591829972622E-2</v>
      </c>
      <c r="N47" s="312">
        <f t="shared" si="14"/>
        <v>1961</v>
      </c>
      <c r="O47" s="313">
        <f t="shared" si="15"/>
        <v>2044.3965961043968</v>
      </c>
      <c r="P47" s="313">
        <f t="shared" si="16"/>
        <v>157.30431963409424</v>
      </c>
      <c r="Q47" s="314">
        <f t="shared" si="17"/>
        <v>244.46472698517951</v>
      </c>
      <c r="S47" s="312">
        <f t="shared" si="18"/>
        <v>1961</v>
      </c>
      <c r="T47" s="315">
        <f t="shared" si="19"/>
        <v>0.26637712958182702</v>
      </c>
      <c r="U47" s="315">
        <f t="shared" si="20"/>
        <v>2.2675000000000001E-2</v>
      </c>
      <c r="V47" s="316">
        <f t="shared" si="21"/>
        <v>2.0609208076323202E-2</v>
      </c>
    </row>
    <row r="48" spans="2:22">
      <c r="B48" s="305">
        <v>1962</v>
      </c>
      <c r="C48" s="306">
        <v>-8.8114605171208907E-2</v>
      </c>
      <c r="D48" s="307">
        <v>2.7775000000000001E-2</v>
      </c>
      <c r="E48" s="308">
        <v>5.6935440540084599E-2</v>
      </c>
      <c r="F48" s="309">
        <f t="shared" si="22"/>
        <v>1864.2553972252945</v>
      </c>
      <c r="G48" s="310">
        <f t="shared" si="23"/>
        <v>161.67344711193124</v>
      </c>
      <c r="H48" s="311">
        <f t="shared" si="24"/>
        <v>258.38343391259224</v>
      </c>
      <c r="I48" s="306">
        <f t="shared" si="25"/>
        <v>-0.11588960517120891</v>
      </c>
      <c r="J48" s="307">
        <f t="shared" si="26"/>
        <v>-0.14505004571129351</v>
      </c>
      <c r="K48" s="308">
        <f t="shared" si="27"/>
        <v>5.9683465378989942E-2</v>
      </c>
      <c r="N48" s="312">
        <f t="shared" si="14"/>
        <v>1962</v>
      </c>
      <c r="O48" s="313">
        <f t="shared" si="15"/>
        <v>1864.2553972252945</v>
      </c>
      <c r="P48" s="313">
        <f t="shared" si="16"/>
        <v>161.67344711193124</v>
      </c>
      <c r="Q48" s="314">
        <f t="shared" si="17"/>
        <v>258.38343391259224</v>
      </c>
      <c r="S48" s="312">
        <f t="shared" si="18"/>
        <v>1962</v>
      </c>
      <c r="T48" s="315">
        <f t="shared" si="19"/>
        <v>-8.8114605171208907E-2</v>
      </c>
      <c r="U48" s="315">
        <f t="shared" si="20"/>
        <v>2.7775000000000001E-2</v>
      </c>
      <c r="V48" s="316">
        <f t="shared" si="21"/>
        <v>5.6935440540084599E-2</v>
      </c>
    </row>
    <row r="49" spans="2:22">
      <c r="B49" s="305">
        <v>1963</v>
      </c>
      <c r="C49" s="306">
        <v>0.226119270998415</v>
      </c>
      <c r="D49" s="307">
        <v>3.1099999999999999E-2</v>
      </c>
      <c r="E49" s="308">
        <v>1.68416207395461E-2</v>
      </c>
      <c r="F49" s="309">
        <f t="shared" si="22"/>
        <v>2285.7994686007387</v>
      </c>
      <c r="G49" s="310">
        <f t="shared" si="23"/>
        <v>166.70149131711227</v>
      </c>
      <c r="H49" s="311">
        <f t="shared" si="24"/>
        <v>262.73502971192971</v>
      </c>
      <c r="I49" s="306">
        <f t="shared" si="25"/>
        <v>0.19501927099841501</v>
      </c>
      <c r="J49" s="307">
        <f t="shared" si="26"/>
        <v>0.20927765025886891</v>
      </c>
      <c r="K49" s="308">
        <f t="shared" si="27"/>
        <v>6.3618993911514599E-2</v>
      </c>
      <c r="N49" s="312">
        <f t="shared" si="14"/>
        <v>1963</v>
      </c>
      <c r="O49" s="313">
        <f t="shared" si="15"/>
        <v>2285.7994686007387</v>
      </c>
      <c r="P49" s="313">
        <f t="shared" si="16"/>
        <v>166.70149131711227</v>
      </c>
      <c r="Q49" s="314">
        <f t="shared" si="17"/>
        <v>262.73502971192971</v>
      </c>
      <c r="S49" s="312">
        <f t="shared" si="18"/>
        <v>1963</v>
      </c>
      <c r="T49" s="315">
        <f t="shared" si="19"/>
        <v>0.226119270998415</v>
      </c>
      <c r="U49" s="315">
        <f t="shared" si="20"/>
        <v>3.1099999999999999E-2</v>
      </c>
      <c r="V49" s="316">
        <f t="shared" si="21"/>
        <v>1.68416207395461E-2</v>
      </c>
    </row>
    <row r="50" spans="2:22">
      <c r="B50" s="305">
        <v>1964</v>
      </c>
      <c r="C50" s="306">
        <v>0.164154558784324</v>
      </c>
      <c r="D50" s="307">
        <v>3.5049999999999998E-2</v>
      </c>
      <c r="E50" s="308">
        <v>3.7280648911540801E-2</v>
      </c>
      <c r="F50" s="309">
        <f t="shared" si="22"/>
        <v>2661.0238718383353</v>
      </c>
      <c r="G50" s="310">
        <f t="shared" si="23"/>
        <v>172.54437858777706</v>
      </c>
      <c r="H50" s="311">
        <f t="shared" si="24"/>
        <v>272.52996211138338</v>
      </c>
      <c r="I50" s="306">
        <f t="shared" si="25"/>
        <v>0.129104558784324</v>
      </c>
      <c r="J50" s="307">
        <f t="shared" si="26"/>
        <v>0.12687390987278319</v>
      </c>
      <c r="K50" s="308">
        <f t="shared" si="27"/>
        <v>6.5267777442658215E-2</v>
      </c>
      <c r="N50" s="312">
        <f t="shared" si="14"/>
        <v>1964</v>
      </c>
      <c r="O50" s="313">
        <f t="shared" si="15"/>
        <v>2661.0238718383353</v>
      </c>
      <c r="P50" s="313">
        <f t="shared" si="16"/>
        <v>172.54437858777706</v>
      </c>
      <c r="Q50" s="314">
        <f t="shared" si="17"/>
        <v>272.52996211138338</v>
      </c>
      <c r="S50" s="312">
        <f t="shared" si="18"/>
        <v>1964</v>
      </c>
      <c r="T50" s="315">
        <f t="shared" si="19"/>
        <v>0.164154558784324</v>
      </c>
      <c r="U50" s="315">
        <f t="shared" si="20"/>
        <v>3.5049999999999998E-2</v>
      </c>
      <c r="V50" s="316">
        <f t="shared" si="21"/>
        <v>3.7280648911540801E-2</v>
      </c>
    </row>
    <row r="51" spans="2:22">
      <c r="B51" s="305">
        <v>1965</v>
      </c>
      <c r="C51" s="306">
        <v>0.123992424778761</v>
      </c>
      <c r="D51" s="307">
        <v>3.9024999999999997E-2</v>
      </c>
      <c r="E51" s="308">
        <v>7.1885509359262299E-3</v>
      </c>
      <c r="F51" s="309">
        <f t="shared" si="22"/>
        <v>2990.9706741017371</v>
      </c>
      <c r="G51" s="310">
        <f t="shared" si="23"/>
        <v>179.27792296216506</v>
      </c>
      <c r="H51" s="311">
        <f t="shared" si="24"/>
        <v>274.48905762558712</v>
      </c>
      <c r="I51" s="306">
        <f t="shared" si="25"/>
        <v>8.4967424778761014E-2</v>
      </c>
      <c r="J51" s="307">
        <f t="shared" si="26"/>
        <v>0.11680387384283478</v>
      </c>
      <c r="K51" s="308">
        <f t="shared" si="27"/>
        <v>6.6617941689874449E-2</v>
      </c>
      <c r="N51" s="312">
        <f t="shared" si="14"/>
        <v>1965</v>
      </c>
      <c r="O51" s="313">
        <f t="shared" si="15"/>
        <v>2990.9706741017371</v>
      </c>
      <c r="P51" s="313">
        <f t="shared" si="16"/>
        <v>179.27792296216506</v>
      </c>
      <c r="Q51" s="314">
        <f t="shared" si="17"/>
        <v>274.48905762558712</v>
      </c>
      <c r="S51" s="312">
        <f t="shared" si="18"/>
        <v>1965</v>
      </c>
      <c r="T51" s="315">
        <f t="shared" si="19"/>
        <v>0.123992424778761</v>
      </c>
      <c r="U51" s="315">
        <f t="shared" si="20"/>
        <v>3.9024999999999997E-2</v>
      </c>
      <c r="V51" s="316">
        <f t="shared" si="21"/>
        <v>7.1885509359262299E-3</v>
      </c>
    </row>
    <row r="52" spans="2:22">
      <c r="B52" s="305">
        <v>1966</v>
      </c>
      <c r="C52" s="306">
        <v>-9.9709542356377898E-2</v>
      </c>
      <c r="D52" s="307">
        <v>4.8399999999999999E-2</v>
      </c>
      <c r="E52" s="308">
        <v>2.9079409324299602E-2</v>
      </c>
      <c r="F52" s="309">
        <f t="shared" si="22"/>
        <v>2692.742356985706</v>
      </c>
      <c r="G52" s="310">
        <f t="shared" si="23"/>
        <v>187.95497443353386</v>
      </c>
      <c r="H52" s="311">
        <f t="shared" si="24"/>
        <v>282.47103728732282</v>
      </c>
      <c r="I52" s="306">
        <f t="shared" si="25"/>
        <v>-0.14810954235637791</v>
      </c>
      <c r="J52" s="307">
        <f t="shared" si="26"/>
        <v>-0.1287889516806775</v>
      </c>
      <c r="K52" s="308">
        <f t="shared" si="27"/>
        <v>6.1123719679815336E-2</v>
      </c>
      <c r="N52" s="312">
        <f t="shared" si="14"/>
        <v>1966</v>
      </c>
      <c r="O52" s="313">
        <f t="shared" si="15"/>
        <v>2692.742356985706</v>
      </c>
      <c r="P52" s="313">
        <f t="shared" si="16"/>
        <v>187.95497443353386</v>
      </c>
      <c r="Q52" s="314">
        <f t="shared" si="17"/>
        <v>282.47103728732282</v>
      </c>
      <c r="S52" s="312">
        <f t="shared" si="18"/>
        <v>1966</v>
      </c>
      <c r="T52" s="315">
        <f t="shared" si="19"/>
        <v>-9.9709542356377898E-2</v>
      </c>
      <c r="U52" s="315">
        <f t="shared" si="20"/>
        <v>4.8399999999999999E-2</v>
      </c>
      <c r="V52" s="316">
        <f t="shared" si="21"/>
        <v>2.9079409324299602E-2</v>
      </c>
    </row>
    <row r="53" spans="2:22">
      <c r="B53" s="305">
        <v>1967</v>
      </c>
      <c r="C53" s="306">
        <v>0.238029665131333</v>
      </c>
      <c r="D53" s="307">
        <v>4.3325000000000002E-2</v>
      </c>
      <c r="E53" s="308">
        <v>-1.5806209932824701E-2</v>
      </c>
      <c r="F53" s="309">
        <f t="shared" si="22"/>
        <v>3333.6949185039698</v>
      </c>
      <c r="G53" s="310">
        <f t="shared" si="23"/>
        <v>196.09812370086672</v>
      </c>
      <c r="H53" s="311">
        <f t="shared" si="24"/>
        <v>278.00624077201667</v>
      </c>
      <c r="I53" s="306">
        <f t="shared" si="25"/>
        <v>0.194704665131333</v>
      </c>
      <c r="J53" s="307">
        <f t="shared" si="26"/>
        <v>0.25383587506415772</v>
      </c>
      <c r="K53" s="308">
        <f t="shared" si="27"/>
        <v>6.5732838776739522E-2</v>
      </c>
      <c r="N53" s="312">
        <f t="shared" si="14"/>
        <v>1967</v>
      </c>
      <c r="O53" s="313">
        <f t="shared" si="15"/>
        <v>3333.6949185039698</v>
      </c>
      <c r="P53" s="313">
        <f t="shared" si="16"/>
        <v>196.09812370086672</v>
      </c>
      <c r="Q53" s="314">
        <f t="shared" si="17"/>
        <v>278.00624077201667</v>
      </c>
      <c r="S53" s="312">
        <f t="shared" si="18"/>
        <v>1967</v>
      </c>
      <c r="T53" s="315">
        <f t="shared" si="19"/>
        <v>0.238029665131333</v>
      </c>
      <c r="U53" s="315">
        <f t="shared" si="20"/>
        <v>4.3325000000000002E-2</v>
      </c>
      <c r="V53" s="316">
        <f t="shared" si="21"/>
        <v>-1.5806209932824701E-2</v>
      </c>
    </row>
    <row r="54" spans="2:22">
      <c r="B54" s="305">
        <v>1968</v>
      </c>
      <c r="C54" s="306">
        <v>0.10814862651601501</v>
      </c>
      <c r="D54" s="307">
        <v>5.2600000000000001E-2</v>
      </c>
      <c r="E54" s="308">
        <v>3.27461969507684E-2</v>
      </c>
      <c r="F54" s="309">
        <f t="shared" si="22"/>
        <v>3694.2294451635926</v>
      </c>
      <c r="G54" s="310">
        <f t="shared" si="23"/>
        <v>206.41288500753231</v>
      </c>
      <c r="H54" s="311">
        <f t="shared" si="24"/>
        <v>287.10988788587986</v>
      </c>
      <c r="I54" s="306">
        <f t="shared" si="25"/>
        <v>5.5548626516015005E-2</v>
      </c>
      <c r="J54" s="307">
        <f t="shared" si="26"/>
        <v>7.5402429565246606E-2</v>
      </c>
      <c r="K54" s="308">
        <f t="shared" si="27"/>
        <v>6.596627828748769E-2</v>
      </c>
      <c r="N54" s="312">
        <f t="shared" si="14"/>
        <v>1968</v>
      </c>
      <c r="O54" s="313">
        <f t="shared" si="15"/>
        <v>3694.2294451635926</v>
      </c>
      <c r="P54" s="313">
        <f t="shared" si="16"/>
        <v>206.41288500753231</v>
      </c>
      <c r="Q54" s="314">
        <f t="shared" si="17"/>
        <v>287.10988788587986</v>
      </c>
      <c r="S54" s="312">
        <f t="shared" si="18"/>
        <v>1968</v>
      </c>
      <c r="T54" s="315">
        <f t="shared" si="19"/>
        <v>0.10814862651601501</v>
      </c>
      <c r="U54" s="315">
        <f t="shared" si="20"/>
        <v>5.2600000000000001E-2</v>
      </c>
      <c r="V54" s="316">
        <f t="shared" si="21"/>
        <v>3.27461969507684E-2</v>
      </c>
    </row>
    <row r="55" spans="2:22">
      <c r="B55" s="305">
        <v>1969</v>
      </c>
      <c r="C55" s="306">
        <v>-8.2413710764490597E-2</v>
      </c>
      <c r="D55" s="307">
        <v>6.5625000000000003E-2</v>
      </c>
      <c r="E55" s="308">
        <v>-5.0140493209926099E-2</v>
      </c>
      <c r="F55" s="309">
        <f t="shared" si="22"/>
        <v>3389.7742881722156</v>
      </c>
      <c r="G55" s="310">
        <f t="shared" si="23"/>
        <v>219.95873058615163</v>
      </c>
      <c r="H55" s="311">
        <f t="shared" si="24"/>
        <v>272.71405650183527</v>
      </c>
      <c r="I55" s="306">
        <f t="shared" si="25"/>
        <v>-0.1480387107644906</v>
      </c>
      <c r="J55" s="307">
        <f t="shared" si="26"/>
        <v>-3.2273217554564498E-2</v>
      </c>
      <c r="K55" s="308">
        <f t="shared" si="27"/>
        <v>6.3333872734198771E-2</v>
      </c>
      <c r="N55" s="312">
        <f t="shared" si="14"/>
        <v>1969</v>
      </c>
      <c r="O55" s="313">
        <f t="shared" si="15"/>
        <v>3389.7742881722156</v>
      </c>
      <c r="P55" s="313">
        <f t="shared" si="16"/>
        <v>219.95873058615163</v>
      </c>
      <c r="Q55" s="314">
        <f t="shared" si="17"/>
        <v>272.71405650183527</v>
      </c>
      <c r="S55" s="312">
        <f t="shared" si="18"/>
        <v>1969</v>
      </c>
      <c r="T55" s="315">
        <f t="shared" si="19"/>
        <v>-8.2413710764490597E-2</v>
      </c>
      <c r="U55" s="315">
        <f t="shared" si="20"/>
        <v>6.5625000000000003E-2</v>
      </c>
      <c r="V55" s="316">
        <f t="shared" si="21"/>
        <v>-5.0140493209926099E-2</v>
      </c>
    </row>
    <row r="56" spans="2:22">
      <c r="B56" s="305">
        <v>1970</v>
      </c>
      <c r="C56" s="306">
        <v>3.5611449054964203E-2</v>
      </c>
      <c r="D56" s="307">
        <v>6.6850000000000007E-2</v>
      </c>
      <c r="E56" s="308">
        <v>0.16754737183412299</v>
      </c>
      <c r="F56" s="309">
        <f t="shared" si="22"/>
        <v>3510.4890625432877</v>
      </c>
      <c r="G56" s="310">
        <f t="shared" si="23"/>
        <v>234.66297172583589</v>
      </c>
      <c r="H56" s="311">
        <f t="shared" si="24"/>
        <v>318.40657993094027</v>
      </c>
      <c r="I56" s="306">
        <f t="shared" si="25"/>
        <v>-3.1238550945035803E-2</v>
      </c>
      <c r="J56" s="307">
        <f t="shared" si="26"/>
        <v>-0.13193592277915878</v>
      </c>
      <c r="K56" s="308">
        <f t="shared" si="27"/>
        <v>5.8972566666314785E-2</v>
      </c>
      <c r="N56" s="312">
        <f t="shared" si="14"/>
        <v>1970</v>
      </c>
      <c r="O56" s="313">
        <f t="shared" si="15"/>
        <v>3510.4890625432877</v>
      </c>
      <c r="P56" s="313">
        <f t="shared" si="16"/>
        <v>234.66297172583589</v>
      </c>
      <c r="Q56" s="314">
        <f t="shared" si="17"/>
        <v>318.40657993094027</v>
      </c>
      <c r="S56" s="312">
        <f t="shared" si="18"/>
        <v>1970</v>
      </c>
      <c r="T56" s="315">
        <f t="shared" si="19"/>
        <v>3.5611449054964203E-2</v>
      </c>
      <c r="U56" s="315">
        <f t="shared" si="20"/>
        <v>6.6850000000000007E-2</v>
      </c>
      <c r="V56" s="316">
        <f t="shared" si="21"/>
        <v>0.16754737183412299</v>
      </c>
    </row>
    <row r="57" spans="2:22">
      <c r="B57" s="305">
        <v>1971</v>
      </c>
      <c r="C57" s="306">
        <v>0.14221150298426499</v>
      </c>
      <c r="D57" s="307">
        <v>4.5400000000000003E-2</v>
      </c>
      <c r="E57" s="308">
        <v>9.7868966197123E-2</v>
      </c>
      <c r="F57" s="309">
        <f t="shared" si="22"/>
        <v>4009.7209883373921</v>
      </c>
      <c r="G57" s="310">
        <f t="shared" si="23"/>
        <v>245.31667064218885</v>
      </c>
      <c r="H57" s="311">
        <f t="shared" si="24"/>
        <v>349.56870273914302</v>
      </c>
      <c r="I57" s="306">
        <f t="shared" si="25"/>
        <v>9.6811502984264997E-2</v>
      </c>
      <c r="J57" s="307">
        <f t="shared" si="26"/>
        <v>4.4342536787141992E-2</v>
      </c>
      <c r="K57" s="308">
        <f t="shared" si="27"/>
        <v>5.8660636809878319E-2</v>
      </c>
      <c r="N57" s="312">
        <f t="shared" si="14"/>
        <v>1971</v>
      </c>
      <c r="O57" s="313">
        <f t="shared" si="15"/>
        <v>4009.7209883373921</v>
      </c>
      <c r="P57" s="313">
        <f t="shared" si="16"/>
        <v>245.31667064218885</v>
      </c>
      <c r="Q57" s="314">
        <f t="shared" si="17"/>
        <v>349.56870273914302</v>
      </c>
      <c r="S57" s="312">
        <f t="shared" si="18"/>
        <v>1971</v>
      </c>
      <c r="T57" s="315">
        <f t="shared" si="19"/>
        <v>0.14221150298426499</v>
      </c>
      <c r="U57" s="315">
        <f t="shared" si="20"/>
        <v>4.5400000000000003E-2</v>
      </c>
      <c r="V57" s="316">
        <f t="shared" si="21"/>
        <v>9.7868966197123E-2</v>
      </c>
    </row>
    <row r="58" spans="2:22">
      <c r="B58" s="305">
        <v>1972</v>
      </c>
      <c r="C58" s="306">
        <v>0.187553629150749</v>
      </c>
      <c r="D58" s="307">
        <v>3.9524999999999998E-2</v>
      </c>
      <c r="E58" s="308">
        <v>2.81844905044497E-2</v>
      </c>
      <c r="F58" s="309">
        <f t="shared" si="22"/>
        <v>4761.7587115819979</v>
      </c>
      <c r="G58" s="310">
        <f t="shared" si="23"/>
        <v>255.01281204932138</v>
      </c>
      <c r="H58" s="311">
        <f t="shared" si="24"/>
        <v>359.4211185221472</v>
      </c>
      <c r="I58" s="306">
        <f t="shared" si="25"/>
        <v>0.14802862915074899</v>
      </c>
      <c r="J58" s="307">
        <f t="shared" si="26"/>
        <v>0.15936913864629929</v>
      </c>
      <c r="K58" s="308">
        <f t="shared" si="27"/>
        <v>6.0804303728189568E-2</v>
      </c>
      <c r="N58" s="312">
        <f t="shared" si="14"/>
        <v>1972</v>
      </c>
      <c r="O58" s="313">
        <f t="shared" si="15"/>
        <v>4761.7587115819979</v>
      </c>
      <c r="P58" s="313">
        <f t="shared" si="16"/>
        <v>255.01281204932138</v>
      </c>
      <c r="Q58" s="314">
        <f t="shared" si="17"/>
        <v>359.4211185221472</v>
      </c>
      <c r="S58" s="312">
        <f t="shared" si="18"/>
        <v>1972</v>
      </c>
      <c r="T58" s="315">
        <f t="shared" si="19"/>
        <v>0.187553629150749</v>
      </c>
      <c r="U58" s="315">
        <f t="shared" si="20"/>
        <v>3.9524999999999998E-2</v>
      </c>
      <c r="V58" s="316">
        <f t="shared" si="21"/>
        <v>2.81844905044497E-2</v>
      </c>
    </row>
    <row r="59" spans="2:22">
      <c r="B59" s="305">
        <v>1973</v>
      </c>
      <c r="C59" s="306">
        <v>-0.143080474375265</v>
      </c>
      <c r="D59" s="307">
        <v>6.7250000000000004E-2</v>
      </c>
      <c r="E59" s="308">
        <v>3.6586646024150099E-2</v>
      </c>
      <c r="F59" s="309">
        <f t="shared" si="22"/>
        <v>4080.4440162682954</v>
      </c>
      <c r="G59" s="310">
        <f t="shared" si="23"/>
        <v>272.16242365963825</v>
      </c>
      <c r="H59" s="311">
        <f t="shared" si="24"/>
        <v>372.5711317591211</v>
      </c>
      <c r="I59" s="306">
        <f t="shared" si="25"/>
        <v>-0.210330474375265</v>
      </c>
      <c r="J59" s="307">
        <f t="shared" si="26"/>
        <v>-0.1796671203994151</v>
      </c>
      <c r="K59" s="308">
        <f t="shared" si="27"/>
        <v>5.4960045718842832E-2</v>
      </c>
      <c r="N59" s="312">
        <f t="shared" si="14"/>
        <v>1973</v>
      </c>
      <c r="O59" s="313">
        <f t="shared" si="15"/>
        <v>4080.4440162682954</v>
      </c>
      <c r="P59" s="313">
        <f t="shared" si="16"/>
        <v>272.16242365963825</v>
      </c>
      <c r="Q59" s="314">
        <f t="shared" si="17"/>
        <v>372.5711317591211</v>
      </c>
      <c r="S59" s="312">
        <f t="shared" si="18"/>
        <v>1973</v>
      </c>
      <c r="T59" s="315">
        <f t="shared" si="19"/>
        <v>-0.143080474375265</v>
      </c>
      <c r="U59" s="315">
        <f t="shared" si="20"/>
        <v>6.7250000000000004E-2</v>
      </c>
      <c r="V59" s="316">
        <f t="shared" si="21"/>
        <v>3.6586646024150099E-2</v>
      </c>
    </row>
    <row r="60" spans="2:22">
      <c r="B60" s="305">
        <v>1974</v>
      </c>
      <c r="C60" s="306">
        <v>-0.25901785750897</v>
      </c>
      <c r="D60" s="307">
        <v>7.7774999999999997E-2</v>
      </c>
      <c r="E60" s="308">
        <v>1.9886086932378599E-2</v>
      </c>
      <c r="F60" s="309">
        <f t="shared" si="22"/>
        <v>3023.5361494891849</v>
      </c>
      <c r="G60" s="310">
        <f t="shared" si="23"/>
        <v>293.32985615976662</v>
      </c>
      <c r="H60" s="311">
        <f t="shared" si="24"/>
        <v>379.98011367377768</v>
      </c>
      <c r="I60" s="306">
        <f t="shared" si="25"/>
        <v>-0.33679285750896998</v>
      </c>
      <c r="J60" s="307">
        <f t="shared" si="26"/>
        <v>-0.27890394444134858</v>
      </c>
      <c r="K60" s="308">
        <f t="shared" si="27"/>
        <v>4.6417018581159653E-2</v>
      </c>
      <c r="N60" s="312">
        <f t="shared" si="14"/>
        <v>1974</v>
      </c>
      <c r="O60" s="313">
        <f t="shared" si="15"/>
        <v>3023.5361494891849</v>
      </c>
      <c r="P60" s="313">
        <f t="shared" si="16"/>
        <v>293.32985615976662</v>
      </c>
      <c r="Q60" s="314">
        <f t="shared" si="17"/>
        <v>379.98011367377768</v>
      </c>
      <c r="S60" s="312">
        <f t="shared" si="18"/>
        <v>1974</v>
      </c>
      <c r="T60" s="315">
        <f t="shared" si="19"/>
        <v>-0.25901785750897</v>
      </c>
      <c r="U60" s="315">
        <f t="shared" si="20"/>
        <v>7.7774999999999997E-2</v>
      </c>
      <c r="V60" s="316">
        <f t="shared" si="21"/>
        <v>1.9886086932378599E-2</v>
      </c>
    </row>
    <row r="61" spans="2:22">
      <c r="B61" s="305">
        <v>1975</v>
      </c>
      <c r="C61" s="306">
        <v>0.369951371061844</v>
      </c>
      <c r="D61" s="307">
        <v>5.9900000000000002E-2</v>
      </c>
      <c r="E61" s="308">
        <v>3.6052536026033803E-2</v>
      </c>
      <c r="F61" s="309">
        <f t="shared" si="22"/>
        <v>4142.0974934477572</v>
      </c>
      <c r="G61" s="310">
        <f t="shared" si="23"/>
        <v>310.90031454373667</v>
      </c>
      <c r="H61" s="311">
        <f t="shared" si="24"/>
        <v>393.67936041117792</v>
      </c>
      <c r="I61" s="306">
        <f t="shared" si="25"/>
        <v>0.31005137106184399</v>
      </c>
      <c r="J61" s="307">
        <f t="shared" si="26"/>
        <v>0.33389883503581019</v>
      </c>
      <c r="K61" s="308">
        <f t="shared" si="27"/>
        <v>5.1706756781676244E-2</v>
      </c>
      <c r="N61" s="312">
        <f t="shared" si="14"/>
        <v>1975</v>
      </c>
      <c r="O61" s="313">
        <f t="shared" si="15"/>
        <v>4142.0974934477572</v>
      </c>
      <c r="P61" s="313">
        <f t="shared" si="16"/>
        <v>310.90031454373667</v>
      </c>
      <c r="Q61" s="314">
        <f t="shared" si="17"/>
        <v>393.67936041117792</v>
      </c>
      <c r="S61" s="312">
        <f t="shared" si="18"/>
        <v>1975</v>
      </c>
      <c r="T61" s="315">
        <f t="shared" si="19"/>
        <v>0.369951371061844</v>
      </c>
      <c r="U61" s="315">
        <f t="shared" si="20"/>
        <v>5.9900000000000002E-2</v>
      </c>
      <c r="V61" s="316">
        <f t="shared" si="21"/>
        <v>3.6052536026033803E-2</v>
      </c>
    </row>
    <row r="62" spans="2:22">
      <c r="B62" s="305">
        <v>1976</v>
      </c>
      <c r="C62" s="306">
        <v>0.23830999002106701</v>
      </c>
      <c r="D62" s="307">
        <v>4.9700000000000001E-2</v>
      </c>
      <c r="E62" s="308">
        <v>0.15984560742909201</v>
      </c>
      <c r="F62" s="309">
        <f t="shared" si="22"/>
        <v>5129.2007057775791</v>
      </c>
      <c r="G62" s="310">
        <f t="shared" si="23"/>
        <v>326.35206017656043</v>
      </c>
      <c r="H62" s="311">
        <f t="shared" si="24"/>
        <v>456.60727690839906</v>
      </c>
      <c r="I62" s="306">
        <f t="shared" si="25"/>
        <v>0.18860999002106701</v>
      </c>
      <c r="J62" s="307">
        <f t="shared" si="26"/>
        <v>7.8464382591974996E-2</v>
      </c>
      <c r="K62" s="308">
        <f t="shared" si="27"/>
        <v>5.2196588038950109E-2</v>
      </c>
      <c r="N62" s="312">
        <f t="shared" si="14"/>
        <v>1976</v>
      </c>
      <c r="O62" s="313">
        <f t="shared" si="15"/>
        <v>5129.2007057775791</v>
      </c>
      <c r="P62" s="313">
        <f t="shared" si="16"/>
        <v>326.35206017656043</v>
      </c>
      <c r="Q62" s="314">
        <f t="shared" si="17"/>
        <v>456.60727690839906</v>
      </c>
      <c r="S62" s="312">
        <f t="shared" si="18"/>
        <v>1976</v>
      </c>
      <c r="T62" s="315">
        <f t="shared" si="19"/>
        <v>0.23830999002106701</v>
      </c>
      <c r="U62" s="315">
        <f t="shared" si="20"/>
        <v>4.9700000000000001E-2</v>
      </c>
      <c r="V62" s="316">
        <f t="shared" si="21"/>
        <v>0.15984560742909201</v>
      </c>
    </row>
    <row r="63" spans="2:22">
      <c r="B63" s="305">
        <v>1977</v>
      </c>
      <c r="C63" s="306">
        <v>-6.9797040759352294E-2</v>
      </c>
      <c r="D63" s="307">
        <v>5.1275000000000001E-2</v>
      </c>
      <c r="E63" s="308">
        <v>1.2899606071070401E-2</v>
      </c>
      <c r="F63" s="309">
        <f t="shared" si="22"/>
        <v>4771.1976750535223</v>
      </c>
      <c r="G63" s="310">
        <f t="shared" si="23"/>
        <v>343.08576206211353</v>
      </c>
      <c r="H63" s="311">
        <f t="shared" si="24"/>
        <v>462.49733090970159</v>
      </c>
      <c r="I63" s="306">
        <f t="shared" si="25"/>
        <v>-0.1210720407593523</v>
      </c>
      <c r="J63" s="307">
        <f t="shared" si="26"/>
        <v>-8.2696646830422688E-2</v>
      </c>
      <c r="K63" s="308">
        <f t="shared" si="27"/>
        <v>4.9266761357046329E-2</v>
      </c>
      <c r="N63" s="312">
        <f t="shared" si="14"/>
        <v>1977</v>
      </c>
      <c r="O63" s="313">
        <f t="shared" si="15"/>
        <v>4771.1976750535223</v>
      </c>
      <c r="P63" s="313">
        <f t="shared" si="16"/>
        <v>343.08576206211353</v>
      </c>
      <c r="Q63" s="314">
        <f t="shared" si="17"/>
        <v>462.49733090970159</v>
      </c>
      <c r="S63" s="312">
        <f t="shared" si="18"/>
        <v>1977</v>
      </c>
      <c r="T63" s="315">
        <f t="shared" si="19"/>
        <v>-6.9797040759352294E-2</v>
      </c>
      <c r="U63" s="315">
        <f t="shared" si="20"/>
        <v>5.1275000000000001E-2</v>
      </c>
      <c r="V63" s="316">
        <f t="shared" si="21"/>
        <v>1.2899606071070401E-2</v>
      </c>
    </row>
    <row r="64" spans="2:22">
      <c r="B64" s="305">
        <v>1978</v>
      </c>
      <c r="C64" s="306">
        <v>6.50928391167193E-2</v>
      </c>
      <c r="D64" s="307">
        <v>6.9324999999999998E-2</v>
      </c>
      <c r="E64" s="308">
        <v>-7.7758069075086504E-3</v>
      </c>
      <c r="F64" s="309">
        <f t="shared" si="22"/>
        <v>5081.7684777098466</v>
      </c>
      <c r="G64" s="310">
        <f t="shared" si="23"/>
        <v>366.87018251706957</v>
      </c>
      <c r="H64" s="311">
        <f t="shared" si="24"/>
        <v>458.90104096930963</v>
      </c>
      <c r="I64" s="306">
        <f t="shared" si="25"/>
        <v>-4.2321608832806973E-3</v>
      </c>
      <c r="J64" s="307">
        <f t="shared" si="26"/>
        <v>7.2868646024227948E-2</v>
      </c>
      <c r="K64" s="308">
        <f t="shared" si="27"/>
        <v>4.974189891320302E-2</v>
      </c>
      <c r="N64" s="312">
        <f t="shared" si="14"/>
        <v>1978</v>
      </c>
      <c r="O64" s="313">
        <f t="shared" si="15"/>
        <v>5081.7684777098466</v>
      </c>
      <c r="P64" s="313">
        <f t="shared" si="16"/>
        <v>366.87018251706957</v>
      </c>
      <c r="Q64" s="314">
        <f t="shared" si="17"/>
        <v>458.90104096930963</v>
      </c>
      <c r="S64" s="312">
        <f t="shared" si="18"/>
        <v>1978</v>
      </c>
      <c r="T64" s="315">
        <f t="shared" si="19"/>
        <v>6.50928391167193E-2</v>
      </c>
      <c r="U64" s="315">
        <f t="shared" si="20"/>
        <v>6.9324999999999998E-2</v>
      </c>
      <c r="V64" s="316">
        <f t="shared" si="21"/>
        <v>-7.7758069075086504E-3</v>
      </c>
    </row>
    <row r="65" spans="2:22">
      <c r="B65" s="305">
        <v>1979</v>
      </c>
      <c r="C65" s="306">
        <v>0.185194901675164</v>
      </c>
      <c r="D65" s="307">
        <v>9.9375000000000005E-2</v>
      </c>
      <c r="E65" s="308">
        <v>6.7072031247235502E-3</v>
      </c>
      <c r="F65" s="309">
        <f t="shared" si="22"/>
        <v>6022.8860912752689</v>
      </c>
      <c r="G65" s="310">
        <f t="shared" si="23"/>
        <v>403.32790690470335</v>
      </c>
      <c r="H65" s="311">
        <f t="shared" si="24"/>
        <v>461.97898346523783</v>
      </c>
      <c r="I65" s="306">
        <f t="shared" si="25"/>
        <v>8.5819901675163998E-2</v>
      </c>
      <c r="J65" s="307">
        <f t="shared" si="26"/>
        <v>0.17848769855044044</v>
      </c>
      <c r="K65" s="308">
        <f t="shared" si="27"/>
        <v>5.2132252828986703E-2</v>
      </c>
      <c r="N65" s="312">
        <f t="shared" si="14"/>
        <v>1979</v>
      </c>
      <c r="O65" s="313">
        <f t="shared" si="15"/>
        <v>6022.8860912752689</v>
      </c>
      <c r="P65" s="313">
        <f t="shared" si="16"/>
        <v>403.32790690470335</v>
      </c>
      <c r="Q65" s="314">
        <f t="shared" si="17"/>
        <v>461.97898346523783</v>
      </c>
      <c r="S65" s="312">
        <f t="shared" si="18"/>
        <v>1979</v>
      </c>
      <c r="T65" s="315">
        <f t="shared" si="19"/>
        <v>0.185194901675164</v>
      </c>
      <c r="U65" s="315">
        <f t="shared" si="20"/>
        <v>9.9375000000000005E-2</v>
      </c>
      <c r="V65" s="316">
        <f t="shared" si="21"/>
        <v>6.7072031247235502E-3</v>
      </c>
    </row>
    <row r="66" spans="2:22">
      <c r="B66" s="305">
        <v>1980</v>
      </c>
      <c r="C66" s="306">
        <v>0.31735245506762999</v>
      </c>
      <c r="D66" s="307">
        <v>0.11219999999999999</v>
      </c>
      <c r="E66" s="308">
        <v>-2.9897442519993999E-2</v>
      </c>
      <c r="F66" s="309">
        <f t="shared" si="22"/>
        <v>7934.263778934157</v>
      </c>
      <c r="G66" s="310">
        <f t="shared" si="23"/>
        <v>448.5812980594111</v>
      </c>
      <c r="H66" s="311">
        <f t="shared" si="24"/>
        <v>448.16699336164061</v>
      </c>
      <c r="I66" s="306">
        <f t="shared" si="25"/>
        <v>0.20515245506763</v>
      </c>
      <c r="J66" s="307">
        <f t="shared" si="26"/>
        <v>0.34724989758762398</v>
      </c>
      <c r="K66" s="308">
        <f t="shared" si="27"/>
        <v>5.731870525758942E-2</v>
      </c>
      <c r="N66" s="312">
        <f t="shared" si="14"/>
        <v>1980</v>
      </c>
      <c r="O66" s="313">
        <f t="shared" si="15"/>
        <v>7934.263778934157</v>
      </c>
      <c r="P66" s="313">
        <f t="shared" si="16"/>
        <v>448.5812980594111</v>
      </c>
      <c r="Q66" s="314">
        <f t="shared" si="17"/>
        <v>448.16699336164061</v>
      </c>
      <c r="S66" s="312">
        <f t="shared" si="18"/>
        <v>1980</v>
      </c>
      <c r="T66" s="315">
        <f t="shared" si="19"/>
        <v>0.31735245506762999</v>
      </c>
      <c r="U66" s="315">
        <f t="shared" si="20"/>
        <v>0.11219999999999999</v>
      </c>
      <c r="V66" s="316">
        <f t="shared" si="21"/>
        <v>-2.9897442519993999E-2</v>
      </c>
    </row>
    <row r="67" spans="2:22">
      <c r="B67" s="305">
        <v>1981</v>
      </c>
      <c r="C67" s="306">
        <v>-4.7023902474955803E-2</v>
      </c>
      <c r="D67" s="307">
        <v>0.14299999999999999</v>
      </c>
      <c r="E67" s="308">
        <v>8.19921533589235E-2</v>
      </c>
      <c r="F67" s="309">
        <f t="shared" si="22"/>
        <v>7561.1637327829831</v>
      </c>
      <c r="G67" s="310">
        <f t="shared" si="23"/>
        <v>512.72842368190686</v>
      </c>
      <c r="H67" s="311">
        <f t="shared" si="24"/>
        <v>484.91317021175587</v>
      </c>
      <c r="I67" s="306">
        <f t="shared" si="25"/>
        <v>-0.19002390247495579</v>
      </c>
      <c r="J67" s="307">
        <f t="shared" si="26"/>
        <v>-0.12901605583387932</v>
      </c>
      <c r="K67" s="308">
        <f t="shared" si="27"/>
        <v>5.3730990468644491E-2</v>
      </c>
      <c r="N67" s="312">
        <f t="shared" si="14"/>
        <v>1981</v>
      </c>
      <c r="O67" s="313">
        <f t="shared" si="15"/>
        <v>7561.1637327829831</v>
      </c>
      <c r="P67" s="313">
        <f t="shared" si="16"/>
        <v>512.72842368190686</v>
      </c>
      <c r="Q67" s="314">
        <f t="shared" si="17"/>
        <v>484.91317021175587</v>
      </c>
      <c r="S67" s="312">
        <f t="shared" si="18"/>
        <v>1981</v>
      </c>
      <c r="T67" s="315">
        <f t="shared" si="19"/>
        <v>-4.7023902474955803E-2</v>
      </c>
      <c r="U67" s="315">
        <f t="shared" si="20"/>
        <v>0.14299999999999999</v>
      </c>
      <c r="V67" s="316">
        <f t="shared" si="21"/>
        <v>8.19921533589235E-2</v>
      </c>
    </row>
    <row r="68" spans="2:22">
      <c r="B68" s="305">
        <v>1982</v>
      </c>
      <c r="C68" s="306">
        <v>0.20419055079559401</v>
      </c>
      <c r="D68" s="307">
        <v>0.1101</v>
      </c>
      <c r="E68" s="308">
        <v>0.32814549486295602</v>
      </c>
      <c r="F68" s="309">
        <f t="shared" si="22"/>
        <v>9105.0819200356109</v>
      </c>
      <c r="G68" s="310">
        <f t="shared" si="23"/>
        <v>569.17982312928484</v>
      </c>
      <c r="H68" s="311">
        <f t="shared" si="24"/>
        <v>644.03524241645732</v>
      </c>
      <c r="I68" s="306">
        <f t="shared" si="25"/>
        <v>9.4090550795594002E-2</v>
      </c>
      <c r="J68" s="307">
        <f t="shared" si="26"/>
        <v>-0.12395494406736202</v>
      </c>
      <c r="K68" s="308">
        <f t="shared" si="27"/>
        <v>5.1038688692139678E-2</v>
      </c>
      <c r="N68" s="312">
        <f t="shared" si="14"/>
        <v>1982</v>
      </c>
      <c r="O68" s="313">
        <f t="shared" si="15"/>
        <v>9105.0819200356109</v>
      </c>
      <c r="P68" s="313">
        <f t="shared" si="16"/>
        <v>569.17982312928484</v>
      </c>
      <c r="Q68" s="314">
        <f t="shared" si="17"/>
        <v>644.03524241645732</v>
      </c>
      <c r="S68" s="312">
        <f t="shared" si="18"/>
        <v>1982</v>
      </c>
      <c r="T68" s="315">
        <f t="shared" si="19"/>
        <v>0.20419055079559401</v>
      </c>
      <c r="U68" s="315">
        <f t="shared" si="20"/>
        <v>0.1101</v>
      </c>
      <c r="V68" s="316">
        <f t="shared" si="21"/>
        <v>0.32814549486295602</v>
      </c>
    </row>
    <row r="69" spans="2:22">
      <c r="B69" s="305">
        <v>1983</v>
      </c>
      <c r="C69" s="306">
        <v>0.22337155858930599</v>
      </c>
      <c r="D69" s="307">
        <v>8.4474999999999995E-2</v>
      </c>
      <c r="E69" s="308">
        <v>3.2002094451429298E-2</v>
      </c>
      <c r="F69" s="309">
        <f t="shared" si="22"/>
        <v>11138.898259597276</v>
      </c>
      <c r="G69" s="310">
        <f t="shared" si="23"/>
        <v>617.26128868813123</v>
      </c>
      <c r="H69" s="311">
        <f t="shared" si="24"/>
        <v>664.64571907431787</v>
      </c>
      <c r="I69" s="306">
        <f t="shared" si="25"/>
        <v>0.138896558589306</v>
      </c>
      <c r="J69" s="307">
        <f t="shared" si="26"/>
        <v>0.1913694641378767</v>
      </c>
      <c r="K69" s="308">
        <f t="shared" si="27"/>
        <v>5.3402830654563971E-2</v>
      </c>
      <c r="N69" s="312">
        <f t="shared" si="14"/>
        <v>1983</v>
      </c>
      <c r="O69" s="313">
        <f t="shared" si="15"/>
        <v>11138.898259597276</v>
      </c>
      <c r="P69" s="313">
        <f t="shared" si="16"/>
        <v>617.26128868813123</v>
      </c>
      <c r="Q69" s="314">
        <f t="shared" si="17"/>
        <v>664.64571907431787</v>
      </c>
      <c r="S69" s="312">
        <f t="shared" si="18"/>
        <v>1983</v>
      </c>
      <c r="T69" s="315">
        <f t="shared" si="19"/>
        <v>0.22337155858930599</v>
      </c>
      <c r="U69" s="315">
        <f t="shared" si="20"/>
        <v>8.4474999999999995E-2</v>
      </c>
      <c r="V69" s="316">
        <f t="shared" si="21"/>
        <v>3.2002094451429298E-2</v>
      </c>
    </row>
    <row r="70" spans="2:22">
      <c r="B70" s="305">
        <v>1984</v>
      </c>
      <c r="C70" s="306">
        <v>6.14614199963621E-2</v>
      </c>
      <c r="D70" s="307">
        <v>9.6125000000000002E-2</v>
      </c>
      <c r="E70" s="308">
        <v>0.137333643441023</v>
      </c>
      <c r="F70" s="309">
        <f t="shared" si="22"/>
        <v>11823.510763827131</v>
      </c>
      <c r="G70" s="310">
        <f t="shared" si="23"/>
        <v>676.59553006327781</v>
      </c>
      <c r="H70" s="311">
        <f t="shared" si="24"/>
        <v>755.92393727227261</v>
      </c>
      <c r="I70" s="306">
        <f t="shared" si="25"/>
        <v>-3.4663580003637902E-2</v>
      </c>
      <c r="J70" s="307">
        <f t="shared" si="26"/>
        <v>-7.5872223444660908E-2</v>
      </c>
      <c r="K70" s="308">
        <f t="shared" si="27"/>
        <v>5.1212126318051165E-2</v>
      </c>
      <c r="N70" s="312">
        <f t="shared" si="14"/>
        <v>1984</v>
      </c>
      <c r="O70" s="313">
        <f t="shared" si="15"/>
        <v>11823.510763827131</v>
      </c>
      <c r="P70" s="313">
        <f t="shared" si="16"/>
        <v>676.59553006327781</v>
      </c>
      <c r="Q70" s="314">
        <f t="shared" si="17"/>
        <v>755.92393727227261</v>
      </c>
      <c r="S70" s="312">
        <f t="shared" si="18"/>
        <v>1984</v>
      </c>
      <c r="T70" s="315">
        <f t="shared" si="19"/>
        <v>6.14614199963621E-2</v>
      </c>
      <c r="U70" s="315">
        <f t="shared" si="20"/>
        <v>9.6125000000000002E-2</v>
      </c>
      <c r="V70" s="316">
        <f t="shared" si="21"/>
        <v>0.137333643441023</v>
      </c>
    </row>
    <row r="71" spans="2:22">
      <c r="B71" s="305">
        <v>1985</v>
      </c>
      <c r="C71" s="306">
        <v>0.31235149485768898</v>
      </c>
      <c r="D71" s="307">
        <v>7.4874999999999997E-2</v>
      </c>
      <c r="E71" s="308">
        <v>0.25712488212606399</v>
      </c>
      <c r="F71" s="309">
        <f t="shared" si="22"/>
        <v>15516.602025374514</v>
      </c>
      <c r="G71" s="310">
        <f t="shared" si="23"/>
        <v>727.25562037676571</v>
      </c>
      <c r="H71" s="311">
        <f t="shared" si="24"/>
        <v>950.29079053967587</v>
      </c>
      <c r="I71" s="306">
        <f t="shared" si="25"/>
        <v>0.23747649485768899</v>
      </c>
      <c r="J71" s="307">
        <f t="shared" si="26"/>
        <v>5.5226612731624991E-2</v>
      </c>
      <c r="K71" s="308">
        <f t="shared" si="27"/>
        <v>5.1284365102581608E-2</v>
      </c>
      <c r="N71" s="312">
        <f t="shared" si="14"/>
        <v>1985</v>
      </c>
      <c r="O71" s="313">
        <f t="shared" si="15"/>
        <v>15516.602025374514</v>
      </c>
      <c r="P71" s="313">
        <f t="shared" si="16"/>
        <v>727.25562037676571</v>
      </c>
      <c r="Q71" s="314">
        <f t="shared" si="17"/>
        <v>950.29079053967587</v>
      </c>
      <c r="S71" s="312">
        <f t="shared" si="18"/>
        <v>1985</v>
      </c>
      <c r="T71" s="315">
        <f t="shared" si="19"/>
        <v>0.31235149485768898</v>
      </c>
      <c r="U71" s="315">
        <f t="shared" si="20"/>
        <v>7.4874999999999997E-2</v>
      </c>
      <c r="V71" s="316">
        <f t="shared" si="21"/>
        <v>0.25712488212606399</v>
      </c>
    </row>
    <row r="72" spans="2:22">
      <c r="B72" s="305">
        <v>1986</v>
      </c>
      <c r="C72" s="306">
        <v>0.18494578758046201</v>
      </c>
      <c r="D72" s="307">
        <v>6.0350000000000001E-2</v>
      </c>
      <c r="E72" s="308">
        <v>0.24284215141767601</v>
      </c>
      <c r="F72" s="309">
        <f t="shared" si="22"/>
        <v>18386.332207529995</v>
      </c>
      <c r="G72" s="310">
        <f t="shared" si="23"/>
        <v>771.14549706650348</v>
      </c>
      <c r="H72" s="311">
        <f t="shared" si="24"/>
        <v>1181.0614505867347</v>
      </c>
      <c r="I72" s="306">
        <f t="shared" si="25"/>
        <v>0.12459578758046201</v>
      </c>
      <c r="J72" s="307">
        <f t="shared" si="26"/>
        <v>-5.7896363837213999E-2</v>
      </c>
      <c r="K72" s="308">
        <f t="shared" si="27"/>
        <v>4.9663565599738835E-2</v>
      </c>
      <c r="N72" s="312">
        <f t="shared" si="14"/>
        <v>1986</v>
      </c>
      <c r="O72" s="313">
        <f t="shared" si="15"/>
        <v>18386.332207529995</v>
      </c>
      <c r="P72" s="313">
        <f t="shared" si="16"/>
        <v>771.14549706650348</v>
      </c>
      <c r="Q72" s="314">
        <f t="shared" si="17"/>
        <v>1181.0614505867347</v>
      </c>
      <c r="S72" s="312">
        <f t="shared" si="18"/>
        <v>1986</v>
      </c>
      <c r="T72" s="315">
        <f t="shared" si="19"/>
        <v>0.18494578758046201</v>
      </c>
      <c r="U72" s="315">
        <f t="shared" si="20"/>
        <v>6.0350000000000001E-2</v>
      </c>
      <c r="V72" s="316">
        <f t="shared" si="21"/>
        <v>0.24284215141767601</v>
      </c>
    </row>
    <row r="73" spans="2:22">
      <c r="B73" s="305">
        <v>1987</v>
      </c>
      <c r="C73" s="306">
        <v>5.8127216418218698E-2</v>
      </c>
      <c r="D73" s="307">
        <v>5.7224999999999998E-2</v>
      </c>
      <c r="E73" s="308">
        <v>-4.96050893792623E-2</v>
      </c>
      <c r="F73" s="309">
        <f t="shared" si="22"/>
        <v>19455.078518894356</v>
      </c>
      <c r="G73" s="310">
        <f t="shared" si="23"/>
        <v>815.27429813613423</v>
      </c>
      <c r="H73" s="311">
        <f t="shared" si="24"/>
        <v>1122.4747917679786</v>
      </c>
      <c r="I73" s="306">
        <f t="shared" si="25"/>
        <v>9.0221641821870008E-4</v>
      </c>
      <c r="J73" s="307">
        <f t="shared" si="26"/>
        <v>0.107732305797481</v>
      </c>
      <c r="K73" s="308">
        <f t="shared" si="27"/>
        <v>5.0693590437507208E-2</v>
      </c>
      <c r="N73" s="312">
        <f t="shared" si="14"/>
        <v>1987</v>
      </c>
      <c r="O73" s="313">
        <f t="shared" si="15"/>
        <v>19455.078518894356</v>
      </c>
      <c r="P73" s="313">
        <f t="shared" si="16"/>
        <v>815.27429813613423</v>
      </c>
      <c r="Q73" s="314">
        <f t="shared" si="17"/>
        <v>1122.4747917679786</v>
      </c>
      <c r="S73" s="312">
        <f t="shared" si="18"/>
        <v>1987</v>
      </c>
      <c r="T73" s="315">
        <f t="shared" si="19"/>
        <v>5.8127216418218698E-2</v>
      </c>
      <c r="U73" s="315">
        <f t="shared" si="20"/>
        <v>5.7224999999999998E-2</v>
      </c>
      <c r="V73" s="316">
        <f t="shared" si="21"/>
        <v>-4.96050893792623E-2</v>
      </c>
    </row>
    <row r="74" spans="2:22">
      <c r="B74" s="305">
        <v>1988</v>
      </c>
      <c r="C74" s="306">
        <v>0.16537192812044699</v>
      </c>
      <c r="D74" s="307">
        <v>6.4500000000000002E-2</v>
      </c>
      <c r="E74" s="308">
        <v>8.2235958434841702E-2</v>
      </c>
      <c r="F74" s="309">
        <f t="shared" si="22"/>
        <v>22672.402365298607</v>
      </c>
      <c r="G74" s="310">
        <f t="shared" si="23"/>
        <v>867.85949036591489</v>
      </c>
      <c r="H74" s="311">
        <f t="shared" si="24"/>
        <v>1214.7825820879677</v>
      </c>
      <c r="I74" s="306">
        <f t="shared" si="25"/>
        <v>0.10087192812044699</v>
      </c>
      <c r="J74" s="307">
        <f t="shared" si="26"/>
        <v>8.3135969685605285E-2</v>
      </c>
      <c r="K74" s="308">
        <f t="shared" si="27"/>
        <v>5.1199933578993884E-2</v>
      </c>
      <c r="N74" s="312">
        <f t="shared" si="14"/>
        <v>1988</v>
      </c>
      <c r="O74" s="313">
        <f t="shared" si="15"/>
        <v>22672.402365298607</v>
      </c>
      <c r="P74" s="313">
        <f t="shared" si="16"/>
        <v>867.85949036591489</v>
      </c>
      <c r="Q74" s="314">
        <f t="shared" si="17"/>
        <v>1214.7825820879677</v>
      </c>
      <c r="S74" s="312">
        <f t="shared" si="18"/>
        <v>1988</v>
      </c>
      <c r="T74" s="315">
        <f t="shared" si="19"/>
        <v>0.16537192812044699</v>
      </c>
      <c r="U74" s="315">
        <f t="shared" si="20"/>
        <v>6.4500000000000002E-2</v>
      </c>
      <c r="V74" s="316">
        <f t="shared" si="21"/>
        <v>8.2235958434841702E-2</v>
      </c>
    </row>
    <row r="75" spans="2:22">
      <c r="B75" s="305">
        <v>1989</v>
      </c>
      <c r="C75" s="306">
        <v>0.31475183638196702</v>
      </c>
      <c r="D75" s="307">
        <v>8.1100000000000005E-2</v>
      </c>
      <c r="E75" s="308">
        <v>0.17693647159446199</v>
      </c>
      <c r="F75" s="309">
        <f t="shared" si="22"/>
        <v>29808.582644967195</v>
      </c>
      <c r="G75" s="310">
        <f t="shared" si="23"/>
        <v>938.24289503459056</v>
      </c>
      <c r="H75" s="311">
        <f t="shared" si="24"/>
        <v>1429.7219259170226</v>
      </c>
      <c r="I75" s="306">
        <f t="shared" si="25"/>
        <v>0.23365183638196702</v>
      </c>
      <c r="J75" s="307">
        <f t="shared" si="26"/>
        <v>0.13781536478750503</v>
      </c>
      <c r="K75" s="308">
        <f t="shared" si="27"/>
        <v>5.240982169336883E-2</v>
      </c>
      <c r="N75" s="312">
        <f t="shared" si="14"/>
        <v>1989</v>
      </c>
      <c r="O75" s="313">
        <f t="shared" si="15"/>
        <v>29808.582644967195</v>
      </c>
      <c r="P75" s="313">
        <f t="shared" si="16"/>
        <v>938.24289503459056</v>
      </c>
      <c r="Q75" s="314">
        <f t="shared" si="17"/>
        <v>1429.7219259170226</v>
      </c>
      <c r="S75" s="312">
        <f t="shared" si="18"/>
        <v>1989</v>
      </c>
      <c r="T75" s="315">
        <f t="shared" si="19"/>
        <v>0.31475183638196702</v>
      </c>
      <c r="U75" s="315">
        <f t="shared" si="20"/>
        <v>8.1100000000000005E-2</v>
      </c>
      <c r="V75" s="316">
        <f t="shared" si="21"/>
        <v>0.17693647159446199</v>
      </c>
    </row>
    <row r="76" spans="2:22">
      <c r="B76" s="305">
        <v>1990</v>
      </c>
      <c r="C76" s="306">
        <v>-3.0644516129032101E-2</v>
      </c>
      <c r="D76" s="307">
        <v>7.5499999999999998E-2</v>
      </c>
      <c r="E76" s="308">
        <v>6.2353753335533398E-2</v>
      </c>
      <c r="F76" s="309">
        <f t="shared" si="22"/>
        <v>28895.113053319914</v>
      </c>
      <c r="G76" s="310">
        <f t="shared" si="23"/>
        <v>1009.0802336097021</v>
      </c>
      <c r="H76" s="311">
        <f t="shared" si="24"/>
        <v>1518.8704542240564</v>
      </c>
      <c r="I76" s="306">
        <f t="shared" si="25"/>
        <v>-0.1061445161290321</v>
      </c>
      <c r="J76" s="307">
        <f t="shared" si="26"/>
        <v>-9.2998269464565492E-2</v>
      </c>
      <c r="K76" s="308">
        <f t="shared" si="27"/>
        <v>4.9979953137364364E-2</v>
      </c>
      <c r="N76" s="312">
        <f t="shared" si="14"/>
        <v>1990</v>
      </c>
      <c r="O76" s="313">
        <f t="shared" si="15"/>
        <v>28895.113053319914</v>
      </c>
      <c r="P76" s="313">
        <f t="shared" si="16"/>
        <v>1009.0802336097021</v>
      </c>
      <c r="Q76" s="314">
        <f t="shared" si="17"/>
        <v>1518.8704542240564</v>
      </c>
      <c r="S76" s="312">
        <f t="shared" si="18"/>
        <v>1990</v>
      </c>
      <c r="T76" s="315">
        <f t="shared" si="19"/>
        <v>-3.0644516129032101E-2</v>
      </c>
      <c r="U76" s="315">
        <f t="shared" si="20"/>
        <v>7.5499999999999998E-2</v>
      </c>
      <c r="V76" s="316">
        <f t="shared" si="21"/>
        <v>6.2353753335533398E-2</v>
      </c>
    </row>
    <row r="77" spans="2:22">
      <c r="B77" s="305">
        <v>1991</v>
      </c>
      <c r="C77" s="306">
        <v>0.30234843134879802</v>
      </c>
      <c r="D77" s="307">
        <v>5.6099999999999997E-2</v>
      </c>
      <c r="E77" s="308">
        <v>0.150045100195173</v>
      </c>
      <c r="F77" s="309">
        <f t="shared" si="22"/>
        <v>37631.505158637367</v>
      </c>
      <c r="G77" s="310">
        <f t="shared" si="23"/>
        <v>1065.6896347152065</v>
      </c>
      <c r="H77" s="311">
        <f t="shared" si="24"/>
        <v>1746.7695237115929</v>
      </c>
      <c r="I77" s="306">
        <f t="shared" si="25"/>
        <v>0.24624843134879804</v>
      </c>
      <c r="J77" s="307">
        <f t="shared" si="26"/>
        <v>0.15230333115362502</v>
      </c>
      <c r="K77" s="308">
        <f t="shared" si="27"/>
        <v>5.1385063984404677E-2</v>
      </c>
      <c r="N77" s="312">
        <f t="shared" ref="N77:N108" si="28">B77</f>
        <v>1991</v>
      </c>
      <c r="O77" s="313">
        <f t="shared" ref="O77:O108" si="29">F77</f>
        <v>37631.505158637367</v>
      </c>
      <c r="P77" s="313">
        <f t="shared" ref="P77:P108" si="30">G77</f>
        <v>1065.6896347152065</v>
      </c>
      <c r="Q77" s="314">
        <f t="shared" ref="Q77:Q108" si="31">H77</f>
        <v>1746.7695237115929</v>
      </c>
      <c r="S77" s="312">
        <f t="shared" ref="S77:S108" si="32">N77</f>
        <v>1991</v>
      </c>
      <c r="T77" s="315">
        <f t="shared" ref="T77:T108" si="33">C77</f>
        <v>0.30234843134879802</v>
      </c>
      <c r="U77" s="315">
        <f t="shared" ref="U77:U108" si="34">D77</f>
        <v>5.6099999999999997E-2</v>
      </c>
      <c r="V77" s="316">
        <f t="shared" ref="V77:V108" si="35">E77</f>
        <v>0.150045100195173</v>
      </c>
    </row>
    <row r="78" spans="2:22">
      <c r="B78" s="305">
        <v>1992</v>
      </c>
      <c r="C78" s="306">
        <v>7.4937279723800598E-2</v>
      </c>
      <c r="D78" s="307">
        <v>3.4049999999999997E-2</v>
      </c>
      <c r="E78" s="308">
        <v>9.3616373162079394E-2</v>
      </c>
      <c r="F78" s="309">
        <f t="shared" ref="F78:F99" si="36">F77*(1+C78)</f>
        <v>40451.507787137823</v>
      </c>
      <c r="G78" s="310">
        <f t="shared" ref="G78:G99" si="37">G77*(1+D78)</f>
        <v>1101.976366777259</v>
      </c>
      <c r="H78" s="311">
        <f t="shared" ref="H78:H99" si="38">H77*(1+E78)</f>
        <v>1910.295751271525</v>
      </c>
      <c r="I78" s="306">
        <f t="shared" ref="I78:I106" si="39">C78-D78</f>
        <v>4.0887279723800601E-2</v>
      </c>
      <c r="J78" s="307">
        <f t="shared" ref="J78:J106" si="40">C78-E78</f>
        <v>-1.8679093438278796E-2</v>
      </c>
      <c r="K78" s="308">
        <f t="shared" ref="K78:K108" si="41">((F78/100)^(1/(B78-$B$13)))-((H78/100)^(1/(B78-$B$13)))</f>
        <v>5.0319857010869606E-2</v>
      </c>
      <c r="N78" s="312">
        <f t="shared" si="28"/>
        <v>1992</v>
      </c>
      <c r="O78" s="313">
        <f t="shared" si="29"/>
        <v>40451.507787137823</v>
      </c>
      <c r="P78" s="313">
        <f t="shared" si="30"/>
        <v>1101.976366777259</v>
      </c>
      <c r="Q78" s="314">
        <f t="shared" si="31"/>
        <v>1910.295751271525</v>
      </c>
      <c r="S78" s="312">
        <f t="shared" si="32"/>
        <v>1992</v>
      </c>
      <c r="T78" s="315">
        <f t="shared" si="33"/>
        <v>7.4937279723800598E-2</v>
      </c>
      <c r="U78" s="315">
        <f t="shared" si="34"/>
        <v>3.4049999999999997E-2</v>
      </c>
      <c r="V78" s="316">
        <f t="shared" si="35"/>
        <v>9.3616373162079394E-2</v>
      </c>
    </row>
    <row r="79" spans="2:22">
      <c r="B79" s="305">
        <v>1993</v>
      </c>
      <c r="C79" s="306">
        <v>9.96705147919488E-2</v>
      </c>
      <c r="D79" s="307">
        <v>2.9825000000000001E-2</v>
      </c>
      <c r="E79" s="308">
        <v>0.14210957589263101</v>
      </c>
      <c r="F79" s="309">
        <f t="shared" si="36"/>
        <v>44483.330392392374</v>
      </c>
      <c r="G79" s="310">
        <f t="shared" si="37"/>
        <v>1134.8428119163907</v>
      </c>
      <c r="H79" s="311">
        <f t="shared" si="38"/>
        <v>2181.7670703142162</v>
      </c>
      <c r="I79" s="306">
        <f t="shared" si="39"/>
        <v>6.9845514791948796E-2</v>
      </c>
      <c r="J79" s="307">
        <f t="shared" si="40"/>
        <v>-4.2439061100682213E-2</v>
      </c>
      <c r="K79" s="308">
        <f t="shared" si="41"/>
        <v>4.8975937931758473E-2</v>
      </c>
      <c r="N79" s="312">
        <f t="shared" si="28"/>
        <v>1993</v>
      </c>
      <c r="O79" s="313">
        <f t="shared" si="29"/>
        <v>44483.330392392374</v>
      </c>
      <c r="P79" s="313">
        <f t="shared" si="30"/>
        <v>1134.8428119163907</v>
      </c>
      <c r="Q79" s="314">
        <f t="shared" si="31"/>
        <v>2181.7670703142162</v>
      </c>
      <c r="S79" s="312">
        <f t="shared" si="32"/>
        <v>1993</v>
      </c>
      <c r="T79" s="315">
        <f t="shared" si="33"/>
        <v>9.96705147919488E-2</v>
      </c>
      <c r="U79" s="315">
        <f t="shared" si="34"/>
        <v>2.9825000000000001E-2</v>
      </c>
      <c r="V79" s="316">
        <f t="shared" si="35"/>
        <v>0.14210957589263101</v>
      </c>
    </row>
    <row r="80" spans="2:22">
      <c r="B80" s="305">
        <v>1994</v>
      </c>
      <c r="C80" s="306">
        <v>1.3259206774573901E-2</v>
      </c>
      <c r="D80" s="307">
        <v>3.9849999999999997E-2</v>
      </c>
      <c r="E80" s="308">
        <v>-8.0366555509985907E-2</v>
      </c>
      <c r="F80" s="309">
        <f t="shared" si="36"/>
        <v>45073.144068086789</v>
      </c>
      <c r="G80" s="310">
        <f t="shared" si="37"/>
        <v>1180.0662979712588</v>
      </c>
      <c r="H80" s="311">
        <f t="shared" si="38"/>
        <v>2006.4259659479494</v>
      </c>
      <c r="I80" s="306">
        <f t="shared" si="39"/>
        <v>-2.6590793225426096E-2</v>
      </c>
      <c r="J80" s="307">
        <f t="shared" si="40"/>
        <v>9.3625762284559808E-2</v>
      </c>
      <c r="K80" s="308">
        <f t="shared" si="41"/>
        <v>4.9718636171719899E-2</v>
      </c>
      <c r="N80" s="312">
        <f t="shared" si="28"/>
        <v>1994</v>
      </c>
      <c r="O80" s="313">
        <f t="shared" si="29"/>
        <v>45073.144068086789</v>
      </c>
      <c r="P80" s="313">
        <f t="shared" si="30"/>
        <v>1180.0662979712588</v>
      </c>
      <c r="Q80" s="314">
        <f t="shared" si="31"/>
        <v>2006.4259659479494</v>
      </c>
      <c r="S80" s="312">
        <f t="shared" si="32"/>
        <v>1994</v>
      </c>
      <c r="T80" s="315">
        <f t="shared" si="33"/>
        <v>1.3259206774573901E-2</v>
      </c>
      <c r="U80" s="315">
        <f t="shared" si="34"/>
        <v>3.9849999999999997E-2</v>
      </c>
      <c r="V80" s="316">
        <f t="shared" si="35"/>
        <v>-8.0366555509985907E-2</v>
      </c>
    </row>
    <row r="81" spans="2:22">
      <c r="B81" s="305">
        <v>1995</v>
      </c>
      <c r="C81" s="306">
        <v>0.37195198902606302</v>
      </c>
      <c r="D81" s="307">
        <v>5.5149999999999998E-2</v>
      </c>
      <c r="E81" s="308">
        <v>0.23480780112538899</v>
      </c>
      <c r="F81" s="309">
        <f t="shared" si="36"/>
        <v>61838.189655869959</v>
      </c>
      <c r="G81" s="310">
        <f t="shared" si="37"/>
        <v>1245.1469543043738</v>
      </c>
      <c r="H81" s="311">
        <f t="shared" si="38"/>
        <v>2477.5504351330719</v>
      </c>
      <c r="I81" s="306">
        <f t="shared" si="39"/>
        <v>0.31680198902606305</v>
      </c>
      <c r="J81" s="307">
        <f t="shared" si="40"/>
        <v>0.13714418790067404</v>
      </c>
      <c r="K81" s="308">
        <f t="shared" si="41"/>
        <v>5.0791451119413633E-2</v>
      </c>
      <c r="N81" s="312">
        <f t="shared" si="28"/>
        <v>1995</v>
      </c>
      <c r="O81" s="313">
        <f t="shared" si="29"/>
        <v>61838.189655869959</v>
      </c>
      <c r="P81" s="313">
        <f t="shared" si="30"/>
        <v>1245.1469543043738</v>
      </c>
      <c r="Q81" s="314">
        <f t="shared" si="31"/>
        <v>2477.5504351330719</v>
      </c>
      <c r="S81" s="312">
        <f t="shared" si="32"/>
        <v>1995</v>
      </c>
      <c r="T81" s="315">
        <f t="shared" si="33"/>
        <v>0.37195198902606302</v>
      </c>
      <c r="U81" s="315">
        <f t="shared" si="34"/>
        <v>5.5149999999999998E-2</v>
      </c>
      <c r="V81" s="316">
        <f t="shared" si="35"/>
        <v>0.23480780112538899</v>
      </c>
    </row>
    <row r="82" spans="2:22">
      <c r="B82" s="305">
        <v>1996</v>
      </c>
      <c r="C82" s="306">
        <v>0.226809660188658</v>
      </c>
      <c r="D82" s="307">
        <v>5.0224999999999999E-2</v>
      </c>
      <c r="E82" s="308">
        <v>1.42860779340184E-2</v>
      </c>
      <c r="F82" s="309">
        <f t="shared" si="36"/>
        <v>75863.688438399608</v>
      </c>
      <c r="G82" s="310">
        <f t="shared" si="37"/>
        <v>1307.684460084311</v>
      </c>
      <c r="H82" s="311">
        <f t="shared" si="38"/>
        <v>2512.9449137348442</v>
      </c>
      <c r="I82" s="306">
        <f t="shared" si="39"/>
        <v>0.17658466018865801</v>
      </c>
      <c r="J82" s="307">
        <f t="shared" si="40"/>
        <v>0.2125235822546396</v>
      </c>
      <c r="K82" s="308">
        <f t="shared" si="41"/>
        <v>5.304503967737495E-2</v>
      </c>
      <c r="N82" s="312">
        <f t="shared" si="28"/>
        <v>1996</v>
      </c>
      <c r="O82" s="313">
        <f t="shared" si="29"/>
        <v>75863.688438399608</v>
      </c>
      <c r="P82" s="313">
        <f t="shared" si="30"/>
        <v>1307.684460084311</v>
      </c>
      <c r="Q82" s="314">
        <f t="shared" si="31"/>
        <v>2512.9449137348442</v>
      </c>
      <c r="S82" s="312">
        <f t="shared" si="32"/>
        <v>1996</v>
      </c>
      <c r="T82" s="315">
        <f t="shared" si="33"/>
        <v>0.226809660188658</v>
      </c>
      <c r="U82" s="315">
        <f t="shared" si="34"/>
        <v>5.0224999999999999E-2</v>
      </c>
      <c r="V82" s="316">
        <f t="shared" si="35"/>
        <v>1.42860779340184E-2</v>
      </c>
    </row>
    <row r="83" spans="2:22">
      <c r="B83" s="305">
        <v>1997</v>
      </c>
      <c r="C83" s="306">
        <v>0.33103653103653102</v>
      </c>
      <c r="D83" s="307">
        <v>5.0525E-2</v>
      </c>
      <c r="E83" s="308">
        <v>9.9391302729775297E-2</v>
      </c>
      <c r="F83" s="309">
        <f t="shared" si="36"/>
        <v>100977.3406906836</v>
      </c>
      <c r="G83" s="310">
        <f t="shared" si="37"/>
        <v>1373.7552174300708</v>
      </c>
      <c r="H83" s="311">
        <f t="shared" si="38"/>
        <v>2762.709782399113</v>
      </c>
      <c r="I83" s="306">
        <f t="shared" si="39"/>
        <v>0.28051153103653104</v>
      </c>
      <c r="J83" s="307">
        <f t="shared" si="40"/>
        <v>0.23164522830675571</v>
      </c>
      <c r="K83" s="308">
        <f t="shared" si="41"/>
        <v>5.5315584903303572E-2</v>
      </c>
      <c r="N83" s="312">
        <f t="shared" si="28"/>
        <v>1997</v>
      </c>
      <c r="O83" s="313">
        <f t="shared" si="29"/>
        <v>100977.3406906836</v>
      </c>
      <c r="P83" s="313">
        <f t="shared" si="30"/>
        <v>1373.7552174300708</v>
      </c>
      <c r="Q83" s="314">
        <f t="shared" si="31"/>
        <v>2762.709782399113</v>
      </c>
      <c r="S83" s="312">
        <f t="shared" si="32"/>
        <v>1997</v>
      </c>
      <c r="T83" s="315">
        <f t="shared" si="33"/>
        <v>0.33103653103653102</v>
      </c>
      <c r="U83" s="315">
        <f t="shared" si="34"/>
        <v>5.0525E-2</v>
      </c>
      <c r="V83" s="316">
        <f t="shared" si="35"/>
        <v>9.9391302729775297E-2</v>
      </c>
    </row>
    <row r="84" spans="2:22">
      <c r="B84" s="305">
        <v>1998</v>
      </c>
      <c r="C84" s="306">
        <v>0.28337953278443601</v>
      </c>
      <c r="D84" s="307">
        <v>4.7274999999999998E-2</v>
      </c>
      <c r="E84" s="308">
        <v>0.14921431922606199</v>
      </c>
      <c r="F84" s="309">
        <f t="shared" si="36"/>
        <v>129592.25231742434</v>
      </c>
      <c r="G84" s="310">
        <f t="shared" si="37"/>
        <v>1438.6994953340775</v>
      </c>
      <c r="H84" s="311">
        <f t="shared" si="38"/>
        <v>3174.9456417989786</v>
      </c>
      <c r="I84" s="306">
        <f t="shared" si="39"/>
        <v>0.23610453278443599</v>
      </c>
      <c r="J84" s="307">
        <f t="shared" si="40"/>
        <v>0.13416521355837402</v>
      </c>
      <c r="K84" s="308">
        <f t="shared" si="41"/>
        <v>5.6306048135548625E-2</v>
      </c>
      <c r="N84" s="312">
        <f t="shared" si="28"/>
        <v>1998</v>
      </c>
      <c r="O84" s="313">
        <f t="shared" si="29"/>
        <v>129592.25231742434</v>
      </c>
      <c r="P84" s="313">
        <f t="shared" si="30"/>
        <v>1438.6994953340775</v>
      </c>
      <c r="Q84" s="314">
        <f t="shared" si="31"/>
        <v>3174.9456417989786</v>
      </c>
      <c r="S84" s="312">
        <f t="shared" si="32"/>
        <v>1998</v>
      </c>
      <c r="T84" s="315">
        <f t="shared" si="33"/>
        <v>0.28337953278443601</v>
      </c>
      <c r="U84" s="315">
        <f t="shared" si="34"/>
        <v>4.7274999999999998E-2</v>
      </c>
      <c r="V84" s="316">
        <f t="shared" si="35"/>
        <v>0.14921431922606199</v>
      </c>
    </row>
    <row r="85" spans="2:22">
      <c r="B85" s="305">
        <v>1999</v>
      </c>
      <c r="C85" s="306">
        <v>0.208853509920845</v>
      </c>
      <c r="D85" s="307">
        <v>4.5100000000000001E-2</v>
      </c>
      <c r="E85" s="308">
        <v>-8.2542147962685802E-2</v>
      </c>
      <c r="F85" s="309">
        <f t="shared" si="36"/>
        <v>156658.04907246618</v>
      </c>
      <c r="G85" s="310">
        <f t="shared" si="37"/>
        <v>1503.5848425736442</v>
      </c>
      <c r="H85" s="311">
        <f t="shared" si="38"/>
        <v>2912.8788088601232</v>
      </c>
      <c r="I85" s="306">
        <f t="shared" si="39"/>
        <v>0.163753509920845</v>
      </c>
      <c r="J85" s="307">
        <f t="shared" si="40"/>
        <v>0.29139565788353083</v>
      </c>
      <c r="K85" s="308">
        <f t="shared" si="41"/>
        <v>5.9634694818320177E-2</v>
      </c>
      <c r="N85" s="312">
        <f t="shared" si="28"/>
        <v>1999</v>
      </c>
      <c r="O85" s="313">
        <f t="shared" si="29"/>
        <v>156658.04907246618</v>
      </c>
      <c r="P85" s="313">
        <f t="shared" si="30"/>
        <v>1503.5848425736442</v>
      </c>
      <c r="Q85" s="314">
        <f t="shared" si="31"/>
        <v>2912.8788088601232</v>
      </c>
      <c r="S85" s="312">
        <f t="shared" si="32"/>
        <v>1999</v>
      </c>
      <c r="T85" s="315">
        <f t="shared" si="33"/>
        <v>0.208853509920845</v>
      </c>
      <c r="U85" s="315">
        <f t="shared" si="34"/>
        <v>4.5100000000000001E-2</v>
      </c>
      <c r="V85" s="316">
        <f t="shared" si="35"/>
        <v>-8.2542147962685802E-2</v>
      </c>
    </row>
    <row r="86" spans="2:22">
      <c r="B86" s="305">
        <v>2000</v>
      </c>
      <c r="C86" s="306">
        <v>-9.0318189552492795E-2</v>
      </c>
      <c r="D86" s="307">
        <v>5.7625000000000003E-2</v>
      </c>
      <c r="E86" s="308">
        <v>0.16655267125397499</v>
      </c>
      <c r="F86" s="309">
        <f t="shared" si="36"/>
        <v>142508.97770141545</v>
      </c>
      <c r="G86" s="310">
        <f t="shared" si="37"/>
        <v>1590.2289191269506</v>
      </c>
      <c r="H86" s="311">
        <f t="shared" si="38"/>
        <v>3398.0265555148731</v>
      </c>
      <c r="I86" s="306">
        <f t="shared" si="39"/>
        <v>-0.1479431895524928</v>
      </c>
      <c r="J86" s="307">
        <f t="shared" si="40"/>
        <v>-0.25687086080646782</v>
      </c>
      <c r="K86" s="308">
        <f t="shared" si="41"/>
        <v>5.5111895842923087E-2</v>
      </c>
      <c r="N86" s="312">
        <f t="shared" si="28"/>
        <v>2000</v>
      </c>
      <c r="O86" s="313">
        <f t="shared" si="29"/>
        <v>142508.97770141545</v>
      </c>
      <c r="P86" s="313">
        <f t="shared" si="30"/>
        <v>1590.2289191269506</v>
      </c>
      <c r="Q86" s="314">
        <f t="shared" si="31"/>
        <v>3398.0265555148731</v>
      </c>
      <c r="S86" s="312">
        <f t="shared" si="32"/>
        <v>2000</v>
      </c>
      <c r="T86" s="315">
        <f t="shared" si="33"/>
        <v>-9.0318189552492795E-2</v>
      </c>
      <c r="U86" s="315">
        <f t="shared" si="34"/>
        <v>5.7625000000000003E-2</v>
      </c>
      <c r="V86" s="316">
        <f t="shared" si="35"/>
        <v>0.16655267125397499</v>
      </c>
    </row>
    <row r="87" spans="2:22">
      <c r="B87" s="305">
        <v>2001</v>
      </c>
      <c r="C87" s="306">
        <v>-0.118497591420002</v>
      </c>
      <c r="D87" s="307">
        <v>3.6725000000000001E-2</v>
      </c>
      <c r="E87" s="308">
        <v>5.5721811892492597E-2</v>
      </c>
      <c r="F87" s="309">
        <f t="shared" si="36"/>
        <v>125622.00708807094</v>
      </c>
      <c r="G87" s="310">
        <f t="shared" si="37"/>
        <v>1648.6300761818877</v>
      </c>
      <c r="H87" s="311">
        <f t="shared" si="38"/>
        <v>3587.3707520469679</v>
      </c>
      <c r="I87" s="306">
        <f t="shared" si="39"/>
        <v>-0.155222591420002</v>
      </c>
      <c r="J87" s="307">
        <f t="shared" si="40"/>
        <v>-0.17421940331249461</v>
      </c>
      <c r="K87" s="308">
        <f t="shared" si="41"/>
        <v>5.1665345512908356E-2</v>
      </c>
      <c r="N87" s="312">
        <f t="shared" si="28"/>
        <v>2001</v>
      </c>
      <c r="O87" s="313">
        <f t="shared" si="29"/>
        <v>125622.00708807094</v>
      </c>
      <c r="P87" s="313">
        <f t="shared" si="30"/>
        <v>1648.6300761818877</v>
      </c>
      <c r="Q87" s="314">
        <f t="shared" si="31"/>
        <v>3587.3707520469679</v>
      </c>
      <c r="S87" s="312">
        <f t="shared" si="32"/>
        <v>2001</v>
      </c>
      <c r="T87" s="315">
        <f t="shared" si="33"/>
        <v>-0.118497591420002</v>
      </c>
      <c r="U87" s="315">
        <f t="shared" si="34"/>
        <v>3.6725000000000001E-2</v>
      </c>
      <c r="V87" s="316">
        <f t="shared" si="35"/>
        <v>5.5721811892492597E-2</v>
      </c>
    </row>
    <row r="88" spans="2:22">
      <c r="B88" s="305">
        <v>2002</v>
      </c>
      <c r="C88" s="306">
        <v>-0.21966047957912699</v>
      </c>
      <c r="D88" s="307">
        <v>1.6574999999999999E-2</v>
      </c>
      <c r="E88" s="308">
        <v>0.15116400378109299</v>
      </c>
      <c r="F88" s="309">
        <f t="shared" si="36"/>
        <v>98027.816765412776</v>
      </c>
      <c r="G88" s="310">
        <f t="shared" si="37"/>
        <v>1675.9561196946024</v>
      </c>
      <c r="H88" s="311">
        <f t="shared" si="38"/>
        <v>4129.6520779735783</v>
      </c>
      <c r="I88" s="306">
        <f t="shared" si="39"/>
        <v>-0.23623547957912699</v>
      </c>
      <c r="J88" s="307">
        <f t="shared" si="40"/>
        <v>-0.37082448336022</v>
      </c>
      <c r="K88" s="308">
        <f t="shared" si="41"/>
        <v>4.5325449773477855E-2</v>
      </c>
      <c r="N88" s="312">
        <f t="shared" si="28"/>
        <v>2002</v>
      </c>
      <c r="O88" s="313">
        <f t="shared" si="29"/>
        <v>98027.816765412776</v>
      </c>
      <c r="P88" s="313">
        <f t="shared" si="30"/>
        <v>1675.9561196946024</v>
      </c>
      <c r="Q88" s="314">
        <f t="shared" si="31"/>
        <v>4129.6520779735783</v>
      </c>
      <c r="S88" s="312">
        <f t="shared" si="32"/>
        <v>2002</v>
      </c>
      <c r="T88" s="315">
        <f t="shared" si="33"/>
        <v>-0.21966047957912699</v>
      </c>
      <c r="U88" s="315">
        <f t="shared" si="34"/>
        <v>1.6574999999999999E-2</v>
      </c>
      <c r="V88" s="316">
        <f t="shared" si="35"/>
        <v>0.15116400378109299</v>
      </c>
    </row>
    <row r="89" spans="2:22">
      <c r="B89" s="305">
        <v>2003</v>
      </c>
      <c r="C89" s="306">
        <v>0.28355800050010199</v>
      </c>
      <c r="D89" s="307">
        <v>1.03E-2</v>
      </c>
      <c r="E89" s="308">
        <v>3.7531858817758498E-3</v>
      </c>
      <c r="F89" s="309">
        <f t="shared" si="36"/>
        <v>125824.38848080359</v>
      </c>
      <c r="G89" s="310">
        <f t="shared" si="37"/>
        <v>1693.2184677274568</v>
      </c>
      <c r="H89" s="311">
        <f t="shared" si="38"/>
        <v>4145.1514298492748</v>
      </c>
      <c r="I89" s="306">
        <f t="shared" si="39"/>
        <v>0.27325800050010202</v>
      </c>
      <c r="J89" s="307">
        <f t="shared" si="40"/>
        <v>0.27980481461832613</v>
      </c>
      <c r="K89" s="308">
        <f t="shared" si="41"/>
        <v>4.8237796117156506E-2</v>
      </c>
      <c r="N89" s="312">
        <f t="shared" si="28"/>
        <v>2003</v>
      </c>
      <c r="O89" s="313">
        <f t="shared" si="29"/>
        <v>125824.38848080359</v>
      </c>
      <c r="P89" s="313">
        <f t="shared" si="30"/>
        <v>1693.2184677274568</v>
      </c>
      <c r="Q89" s="314">
        <f t="shared" si="31"/>
        <v>4145.1514298492748</v>
      </c>
      <c r="S89" s="312">
        <f t="shared" si="32"/>
        <v>2003</v>
      </c>
      <c r="T89" s="315">
        <f t="shared" si="33"/>
        <v>0.28355800050010199</v>
      </c>
      <c r="U89" s="315">
        <f t="shared" si="34"/>
        <v>1.03E-2</v>
      </c>
      <c r="V89" s="316">
        <f t="shared" si="35"/>
        <v>3.7531858817758498E-3</v>
      </c>
    </row>
    <row r="90" spans="2:22">
      <c r="B90" s="305">
        <v>2004</v>
      </c>
      <c r="C90" s="306">
        <v>0.107427759440962</v>
      </c>
      <c r="D90" s="307">
        <v>1.2274999999999999E-2</v>
      </c>
      <c r="E90" s="308">
        <v>4.4906837022745498E-2</v>
      </c>
      <c r="F90" s="309">
        <f t="shared" si="36"/>
        <v>139341.42061832553</v>
      </c>
      <c r="G90" s="310">
        <f t="shared" si="37"/>
        <v>1714.0027244188113</v>
      </c>
      <c r="H90" s="311">
        <f t="shared" si="38"/>
        <v>4331.2970695441163</v>
      </c>
      <c r="I90" s="306">
        <f t="shared" si="39"/>
        <v>9.5152759440962006E-2</v>
      </c>
      <c r="J90" s="307">
        <f t="shared" si="40"/>
        <v>6.2520922418216496E-2</v>
      </c>
      <c r="K90" s="308">
        <f t="shared" si="41"/>
        <v>4.842299846885445E-2</v>
      </c>
      <c r="N90" s="312">
        <f t="shared" si="28"/>
        <v>2004</v>
      </c>
      <c r="O90" s="313">
        <f t="shared" si="29"/>
        <v>139341.42061832553</v>
      </c>
      <c r="P90" s="313">
        <f t="shared" si="30"/>
        <v>1714.0027244188113</v>
      </c>
      <c r="Q90" s="314">
        <f t="shared" si="31"/>
        <v>4331.2970695441163</v>
      </c>
      <c r="S90" s="312">
        <f t="shared" si="32"/>
        <v>2004</v>
      </c>
      <c r="T90" s="315">
        <f t="shared" si="33"/>
        <v>0.107427759440962</v>
      </c>
      <c r="U90" s="315">
        <f t="shared" si="34"/>
        <v>1.2274999999999999E-2</v>
      </c>
      <c r="V90" s="316">
        <f t="shared" si="35"/>
        <v>4.4906837022745498E-2</v>
      </c>
    </row>
    <row r="91" spans="2:22">
      <c r="B91" s="305">
        <v>2005</v>
      </c>
      <c r="C91" s="306">
        <v>4.83447752326885E-2</v>
      </c>
      <c r="D91" s="307">
        <v>3.0099999999999998E-2</v>
      </c>
      <c r="E91" s="308">
        <v>2.8675329597779499E-2</v>
      </c>
      <c r="F91" s="309">
        <f t="shared" si="36"/>
        <v>146077.85027872198</v>
      </c>
      <c r="G91" s="310">
        <f t="shared" si="37"/>
        <v>1765.5942064238177</v>
      </c>
      <c r="H91" s="311">
        <f t="shared" si="38"/>
        <v>4455.49844059919</v>
      </c>
      <c r="I91" s="306">
        <f t="shared" si="39"/>
        <v>1.8244775232688502E-2</v>
      </c>
      <c r="J91" s="307">
        <f t="shared" si="40"/>
        <v>1.9669445634909001E-2</v>
      </c>
      <c r="K91" s="308">
        <f t="shared" si="41"/>
        <v>4.8042189402255131E-2</v>
      </c>
      <c r="N91" s="312">
        <f t="shared" si="28"/>
        <v>2005</v>
      </c>
      <c r="O91" s="313">
        <f t="shared" si="29"/>
        <v>146077.85027872198</v>
      </c>
      <c r="P91" s="313">
        <f t="shared" si="30"/>
        <v>1765.5942064238177</v>
      </c>
      <c r="Q91" s="314">
        <f t="shared" si="31"/>
        <v>4455.49844059919</v>
      </c>
      <c r="S91" s="312">
        <f t="shared" si="32"/>
        <v>2005</v>
      </c>
      <c r="T91" s="315">
        <f t="shared" si="33"/>
        <v>4.83447752326885E-2</v>
      </c>
      <c r="U91" s="315">
        <f t="shared" si="34"/>
        <v>3.0099999999999998E-2</v>
      </c>
      <c r="V91" s="316">
        <f t="shared" si="35"/>
        <v>2.8675329597779499E-2</v>
      </c>
    </row>
    <row r="92" spans="2:22">
      <c r="B92" s="305">
        <v>2006</v>
      </c>
      <c r="C92" s="306">
        <v>0.156125579793157</v>
      </c>
      <c r="D92" s="307">
        <v>4.6774999999999997E-2</v>
      </c>
      <c r="E92" s="308">
        <v>1.96100124175684E-2</v>
      </c>
      <c r="F92" s="309">
        <f t="shared" si="36"/>
        <v>168884.33934842542</v>
      </c>
      <c r="G92" s="310">
        <f t="shared" si="37"/>
        <v>1848.1798754292918</v>
      </c>
      <c r="H92" s="311">
        <f t="shared" si="38"/>
        <v>4542.8708203457973</v>
      </c>
      <c r="I92" s="306">
        <f t="shared" si="39"/>
        <v>0.109350579793157</v>
      </c>
      <c r="J92" s="307">
        <f t="shared" si="40"/>
        <v>0.13651556737558859</v>
      </c>
      <c r="K92" s="308">
        <f t="shared" si="41"/>
        <v>4.9149036004805691E-2</v>
      </c>
      <c r="N92" s="312">
        <f t="shared" si="28"/>
        <v>2006</v>
      </c>
      <c r="O92" s="313">
        <f t="shared" si="29"/>
        <v>168884.33934842542</v>
      </c>
      <c r="P92" s="313">
        <f t="shared" si="30"/>
        <v>1848.1798754292918</v>
      </c>
      <c r="Q92" s="314">
        <f t="shared" si="31"/>
        <v>4542.8708203457973</v>
      </c>
      <c r="S92" s="312">
        <f t="shared" si="32"/>
        <v>2006</v>
      </c>
      <c r="T92" s="315">
        <f t="shared" si="33"/>
        <v>0.156125579793157</v>
      </c>
      <c r="U92" s="315">
        <f t="shared" si="34"/>
        <v>4.6774999999999997E-2</v>
      </c>
      <c r="V92" s="316">
        <f t="shared" si="35"/>
        <v>1.96100124175684E-2</v>
      </c>
    </row>
    <row r="93" spans="2:22">
      <c r="B93" s="305">
        <v>2007</v>
      </c>
      <c r="C93" s="306">
        <v>5.4847352464217701E-2</v>
      </c>
      <c r="D93" s="307">
        <v>4.6425000000000001E-2</v>
      </c>
      <c r="E93" s="308">
        <v>0.102099219300128</v>
      </c>
      <c r="F93" s="309">
        <f t="shared" si="36"/>
        <v>178147.19823435505</v>
      </c>
      <c r="G93" s="310">
        <f t="shared" si="37"/>
        <v>1933.9816261460965</v>
      </c>
      <c r="H93" s="311">
        <f t="shared" si="38"/>
        <v>5006.6943844844354</v>
      </c>
      <c r="I93" s="306">
        <f t="shared" si="39"/>
        <v>8.4223524642177E-3</v>
      </c>
      <c r="J93" s="307">
        <f t="shared" si="40"/>
        <v>-4.7251866835910296E-2</v>
      </c>
      <c r="K93" s="308">
        <f t="shared" si="41"/>
        <v>4.7948712238125024E-2</v>
      </c>
      <c r="N93" s="312">
        <f t="shared" si="28"/>
        <v>2007</v>
      </c>
      <c r="O93" s="313">
        <f t="shared" si="29"/>
        <v>178147.19823435505</v>
      </c>
      <c r="P93" s="313">
        <f t="shared" si="30"/>
        <v>1933.9816261460965</v>
      </c>
      <c r="Q93" s="314">
        <f t="shared" si="31"/>
        <v>5006.6943844844354</v>
      </c>
      <c r="S93" s="312">
        <f t="shared" si="32"/>
        <v>2007</v>
      </c>
      <c r="T93" s="315">
        <f t="shared" si="33"/>
        <v>5.4847352464217701E-2</v>
      </c>
      <c r="U93" s="315">
        <f t="shared" si="34"/>
        <v>4.6425000000000001E-2</v>
      </c>
      <c r="V93" s="316">
        <f t="shared" si="35"/>
        <v>0.102099219300128</v>
      </c>
    </row>
    <row r="94" spans="2:22">
      <c r="B94" s="305">
        <v>2008</v>
      </c>
      <c r="C94" s="306">
        <v>-0.36552344111798202</v>
      </c>
      <c r="D94" s="307">
        <v>1.585E-2</v>
      </c>
      <c r="E94" s="308">
        <v>0.20101279926977</v>
      </c>
      <c r="F94" s="309">
        <f t="shared" si="36"/>
        <v>113030.22131020631</v>
      </c>
      <c r="G94" s="310">
        <f t="shared" si="37"/>
        <v>1964.6352349205119</v>
      </c>
      <c r="H94" s="311">
        <f t="shared" si="38"/>
        <v>6013.1040377978898</v>
      </c>
      <c r="I94" s="306">
        <f t="shared" si="39"/>
        <v>-0.38137344111798199</v>
      </c>
      <c r="J94" s="307">
        <f t="shared" si="40"/>
        <v>-0.56653624038775208</v>
      </c>
      <c r="K94" s="308">
        <f t="shared" si="41"/>
        <v>3.8795868868689798E-2</v>
      </c>
      <c r="N94" s="312">
        <f t="shared" si="28"/>
        <v>2008</v>
      </c>
      <c r="O94" s="313">
        <f t="shared" si="29"/>
        <v>113030.22131020631</v>
      </c>
      <c r="P94" s="313">
        <f t="shared" si="30"/>
        <v>1964.6352349205119</v>
      </c>
      <c r="Q94" s="314">
        <f t="shared" si="31"/>
        <v>6013.1040377978898</v>
      </c>
      <c r="S94" s="312">
        <f t="shared" si="32"/>
        <v>2008</v>
      </c>
      <c r="T94" s="315">
        <f t="shared" si="33"/>
        <v>-0.36552344111798202</v>
      </c>
      <c r="U94" s="315">
        <f t="shared" si="34"/>
        <v>1.585E-2</v>
      </c>
      <c r="V94" s="316">
        <f t="shared" si="35"/>
        <v>0.20101279926977</v>
      </c>
    </row>
    <row r="95" spans="2:22">
      <c r="B95" s="305">
        <v>2009</v>
      </c>
      <c r="C95" s="306">
        <v>0.25935233877663999</v>
      </c>
      <c r="D95" s="307">
        <v>1.3500000000000001E-3</v>
      </c>
      <c r="E95" s="308">
        <v>-0.11116695313259201</v>
      </c>
      <c r="F95" s="309">
        <f t="shared" si="36"/>
        <v>142344.87355944951</v>
      </c>
      <c r="G95" s="310">
        <f t="shared" si="37"/>
        <v>1967.2874924876546</v>
      </c>
      <c r="H95" s="311">
        <f t="shared" si="38"/>
        <v>5344.645583046612</v>
      </c>
      <c r="I95" s="306">
        <f t="shared" si="39"/>
        <v>0.25800233877663997</v>
      </c>
      <c r="J95" s="307">
        <f t="shared" si="40"/>
        <v>0.370519291909232</v>
      </c>
      <c r="K95" s="308">
        <f t="shared" si="41"/>
        <v>4.2868506133348472E-2</v>
      </c>
      <c r="N95" s="312">
        <f t="shared" si="28"/>
        <v>2009</v>
      </c>
      <c r="O95" s="313">
        <f t="shared" si="29"/>
        <v>142344.87355944951</v>
      </c>
      <c r="P95" s="313">
        <f t="shared" si="30"/>
        <v>1967.2874924876546</v>
      </c>
      <c r="Q95" s="314">
        <f t="shared" si="31"/>
        <v>5344.645583046612</v>
      </c>
      <c r="S95" s="312">
        <f t="shared" si="32"/>
        <v>2009</v>
      </c>
      <c r="T95" s="315">
        <f t="shared" si="33"/>
        <v>0.25935233877663999</v>
      </c>
      <c r="U95" s="315">
        <f t="shared" si="34"/>
        <v>1.3500000000000001E-3</v>
      </c>
      <c r="V95" s="316">
        <f t="shared" si="35"/>
        <v>-0.11116695313259201</v>
      </c>
    </row>
    <row r="96" spans="2:22">
      <c r="B96" s="305">
        <v>2010</v>
      </c>
      <c r="C96" s="306">
        <v>0.148210922787194</v>
      </c>
      <c r="D96" s="307">
        <v>1.2999999999999999E-3</v>
      </c>
      <c r="E96" s="308">
        <v>8.4629338803557705E-2</v>
      </c>
      <c r="F96" s="309">
        <f t="shared" si="36"/>
        <v>163441.93862372197</v>
      </c>
      <c r="G96" s="310">
        <f t="shared" si="37"/>
        <v>1969.8449662278888</v>
      </c>
      <c r="H96" s="311">
        <f t="shared" si="38"/>
        <v>5796.9594048792023</v>
      </c>
      <c r="I96" s="306">
        <f t="shared" si="39"/>
        <v>0.146910922787194</v>
      </c>
      <c r="J96" s="307">
        <f t="shared" si="40"/>
        <v>6.3581583983636294E-2</v>
      </c>
      <c r="K96" s="308">
        <f t="shared" si="41"/>
        <v>4.3108516433475241E-2</v>
      </c>
      <c r="N96" s="312">
        <f t="shared" si="28"/>
        <v>2010</v>
      </c>
      <c r="O96" s="313">
        <f t="shared" si="29"/>
        <v>163441.93862372197</v>
      </c>
      <c r="P96" s="313">
        <f t="shared" si="30"/>
        <v>1969.8449662278888</v>
      </c>
      <c r="Q96" s="314">
        <f t="shared" si="31"/>
        <v>5796.9594048792023</v>
      </c>
      <c r="S96" s="312">
        <f t="shared" si="32"/>
        <v>2010</v>
      </c>
      <c r="T96" s="315">
        <f t="shared" si="33"/>
        <v>0.148210922787194</v>
      </c>
      <c r="U96" s="315">
        <f t="shared" si="34"/>
        <v>1.2999999999999999E-3</v>
      </c>
      <c r="V96" s="316">
        <f t="shared" si="35"/>
        <v>8.4629338803557705E-2</v>
      </c>
    </row>
    <row r="97" spans="2:22">
      <c r="B97" s="305">
        <v>2011</v>
      </c>
      <c r="C97" s="306">
        <v>2.09837473362805E-2</v>
      </c>
      <c r="D97" s="307">
        <v>2.9999999999999997E-4</v>
      </c>
      <c r="E97" s="308">
        <v>0.16035334999461401</v>
      </c>
      <c r="F97" s="309">
        <f t="shared" si="36"/>
        <v>166871.56296795403</v>
      </c>
      <c r="G97" s="310">
        <f t="shared" si="37"/>
        <v>1970.4359197177571</v>
      </c>
      <c r="H97" s="311">
        <f t="shared" si="38"/>
        <v>6726.5212652343662</v>
      </c>
      <c r="I97" s="306">
        <f t="shared" si="39"/>
        <v>2.0683747336280499E-2</v>
      </c>
      <c r="J97" s="307">
        <f t="shared" si="40"/>
        <v>-0.13936960265833351</v>
      </c>
      <c r="K97" s="308">
        <f t="shared" si="41"/>
        <v>4.0970429004248521E-2</v>
      </c>
      <c r="N97" s="312">
        <f t="shared" si="28"/>
        <v>2011</v>
      </c>
      <c r="O97" s="313">
        <f t="shared" si="29"/>
        <v>166871.56296795403</v>
      </c>
      <c r="P97" s="313">
        <f t="shared" si="30"/>
        <v>1970.4359197177571</v>
      </c>
      <c r="Q97" s="314">
        <f t="shared" si="31"/>
        <v>6726.5212652343662</v>
      </c>
      <c r="S97" s="312">
        <f t="shared" si="32"/>
        <v>2011</v>
      </c>
      <c r="T97" s="315">
        <f t="shared" si="33"/>
        <v>2.09837473362805E-2</v>
      </c>
      <c r="U97" s="315">
        <f t="shared" si="34"/>
        <v>2.9999999999999997E-4</v>
      </c>
      <c r="V97" s="316">
        <f t="shared" si="35"/>
        <v>0.16035334999461401</v>
      </c>
    </row>
    <row r="98" spans="2:22">
      <c r="B98" s="317">
        <v>2012</v>
      </c>
      <c r="C98" s="306">
        <v>0.15890585241730301</v>
      </c>
      <c r="D98" s="307">
        <v>5.0000000000000001E-4</v>
      </c>
      <c r="E98" s="308">
        <v>2.9715719780189501E-2</v>
      </c>
      <c r="F98" s="309">
        <f t="shared" si="36"/>
        <v>193388.43092558443</v>
      </c>
      <c r="G98" s="310">
        <f t="shared" si="37"/>
        <v>1971.4211376776159</v>
      </c>
      <c r="H98" s="311">
        <f t="shared" si="38"/>
        <v>6926.404686247557</v>
      </c>
      <c r="I98" s="306">
        <f t="shared" si="39"/>
        <v>0.15840585241730301</v>
      </c>
      <c r="J98" s="307">
        <f t="shared" si="40"/>
        <v>0.12919013263711351</v>
      </c>
      <c r="K98" s="308">
        <f t="shared" si="41"/>
        <v>4.1988275684727405E-2</v>
      </c>
      <c r="N98" s="312">
        <f t="shared" si="28"/>
        <v>2012</v>
      </c>
      <c r="O98" s="313">
        <f t="shared" si="29"/>
        <v>193388.43092558443</v>
      </c>
      <c r="P98" s="313">
        <f t="shared" si="30"/>
        <v>1971.4211376776159</v>
      </c>
      <c r="Q98" s="314">
        <f t="shared" si="31"/>
        <v>6926.404686247557</v>
      </c>
      <c r="S98" s="312">
        <f t="shared" si="32"/>
        <v>2012</v>
      </c>
      <c r="T98" s="315">
        <f t="shared" si="33"/>
        <v>0.15890585241730301</v>
      </c>
      <c r="U98" s="315">
        <f t="shared" si="34"/>
        <v>5.0000000000000001E-4</v>
      </c>
      <c r="V98" s="316">
        <f t="shared" si="35"/>
        <v>2.9715719780189501E-2</v>
      </c>
    </row>
    <row r="99" spans="2:22">
      <c r="B99" s="317">
        <v>2013</v>
      </c>
      <c r="C99" s="306">
        <v>0.32145085858125499</v>
      </c>
      <c r="D99" s="307">
        <v>6.6E-4</v>
      </c>
      <c r="E99" s="308">
        <v>-9.1045687943472606E-2</v>
      </c>
      <c r="F99" s="309">
        <f t="shared" si="36"/>
        <v>255553.30808629526</v>
      </c>
      <c r="G99" s="310">
        <f t="shared" si="37"/>
        <v>1972.7222756284834</v>
      </c>
      <c r="H99" s="311">
        <f t="shared" si="38"/>
        <v>6295.7854066132559</v>
      </c>
      <c r="I99" s="306">
        <f t="shared" si="39"/>
        <v>0.320790858581255</v>
      </c>
      <c r="J99" s="307">
        <f t="shared" si="40"/>
        <v>0.41249654652472761</v>
      </c>
      <c r="K99" s="308">
        <f t="shared" si="41"/>
        <v>4.6176809418723153E-2</v>
      </c>
      <c r="N99" s="312">
        <f t="shared" si="28"/>
        <v>2013</v>
      </c>
      <c r="O99" s="313">
        <f t="shared" si="29"/>
        <v>255553.30808629526</v>
      </c>
      <c r="P99" s="313">
        <f t="shared" si="30"/>
        <v>1972.7222756284834</v>
      </c>
      <c r="Q99" s="314">
        <f t="shared" si="31"/>
        <v>6295.7854066132559</v>
      </c>
      <c r="S99" s="312">
        <f t="shared" si="32"/>
        <v>2013</v>
      </c>
      <c r="T99" s="315">
        <f t="shared" si="33"/>
        <v>0.32145085858125499</v>
      </c>
      <c r="U99" s="315">
        <f t="shared" si="34"/>
        <v>6.6E-4</v>
      </c>
      <c r="V99" s="316">
        <f t="shared" si="35"/>
        <v>-9.1045687943472606E-2</v>
      </c>
    </row>
    <row r="100" spans="2:22">
      <c r="B100" s="317">
        <v>2014</v>
      </c>
      <c r="C100" s="318">
        <v>0.13524421649462201</v>
      </c>
      <c r="D100" s="319">
        <v>5.2999999999999998E-4</v>
      </c>
      <c r="E100" s="320">
        <v>0.107461804520048</v>
      </c>
      <c r="F100" s="321">
        <v>162000.72518349701</v>
      </c>
      <c r="G100" s="322">
        <v>1973.76781843457</v>
      </c>
      <c r="H100" s="323">
        <v>7561.31885479836</v>
      </c>
      <c r="I100" s="306">
        <f t="shared" si="39"/>
        <v>0.13471421649462201</v>
      </c>
      <c r="J100" s="307">
        <f t="shared" si="40"/>
        <v>2.7782411974574012E-2</v>
      </c>
      <c r="K100" s="308">
        <f t="shared" si="41"/>
        <v>3.7680155260899184E-2</v>
      </c>
      <c r="N100" s="312">
        <f t="shared" si="28"/>
        <v>2014</v>
      </c>
      <c r="O100" s="313">
        <f t="shared" si="29"/>
        <v>162000.72518349701</v>
      </c>
      <c r="P100" s="313">
        <f t="shared" si="30"/>
        <v>1973.76781843457</v>
      </c>
      <c r="Q100" s="314">
        <f t="shared" si="31"/>
        <v>7561.31885479836</v>
      </c>
      <c r="S100" s="312">
        <f t="shared" si="32"/>
        <v>2014</v>
      </c>
      <c r="T100" s="315">
        <f t="shared" si="33"/>
        <v>0.13524421649462201</v>
      </c>
      <c r="U100" s="315">
        <f t="shared" si="34"/>
        <v>5.2999999999999998E-4</v>
      </c>
      <c r="V100" s="316">
        <f t="shared" si="35"/>
        <v>0.107461804520048</v>
      </c>
    </row>
    <row r="101" spans="2:22">
      <c r="B101" s="317">
        <v>2015</v>
      </c>
      <c r="C101" s="318">
        <v>1.3599494875904601E-2</v>
      </c>
      <c r="D101" s="319">
        <v>2.0999999999999999E-3</v>
      </c>
      <c r="E101" s="320">
        <v>1.28429967097922E-2</v>
      </c>
      <c r="F101" s="321">
        <v>294060.83811089903</v>
      </c>
      <c r="G101" s="322">
        <v>1977.91273085328</v>
      </c>
      <c r="H101" s="323">
        <v>7061.8876309399102</v>
      </c>
      <c r="I101" s="306">
        <f t="shared" si="39"/>
        <v>1.1499494875904601E-2</v>
      </c>
      <c r="J101" s="307">
        <f t="shared" si="40"/>
        <v>7.5649816611240116E-4</v>
      </c>
      <c r="K101" s="308">
        <f t="shared" si="41"/>
        <v>4.543213214629449E-2</v>
      </c>
      <c r="N101" s="312">
        <f t="shared" si="28"/>
        <v>2015</v>
      </c>
      <c r="O101" s="313">
        <f t="shared" si="29"/>
        <v>294060.83811089903</v>
      </c>
      <c r="P101" s="313">
        <f t="shared" si="30"/>
        <v>1977.91273085328</v>
      </c>
      <c r="Q101" s="314">
        <f t="shared" si="31"/>
        <v>7061.8876309399102</v>
      </c>
      <c r="S101" s="312">
        <f t="shared" si="32"/>
        <v>2015</v>
      </c>
      <c r="T101" s="315">
        <f t="shared" si="33"/>
        <v>1.3599494875904601E-2</v>
      </c>
      <c r="U101" s="315">
        <f t="shared" si="34"/>
        <v>2.0999999999999999E-3</v>
      </c>
      <c r="V101" s="316">
        <f t="shared" si="35"/>
        <v>1.28429967097922E-2</v>
      </c>
    </row>
    <row r="102" spans="2:22">
      <c r="B102" s="305">
        <v>2016</v>
      </c>
      <c r="C102" s="306">
        <v>0.117403004060864</v>
      </c>
      <c r="D102" s="307">
        <v>5.1000000000000004E-3</v>
      </c>
      <c r="E102" s="308">
        <v>6.9055046987477903E-3</v>
      </c>
      <c r="F102" s="309">
        <v>328584.46388177399</v>
      </c>
      <c r="G102" s="310">
        <v>1988.0000857806299</v>
      </c>
      <c r="H102" s="311">
        <v>7110.65352915739</v>
      </c>
      <c r="I102" s="306">
        <f t="shared" si="39"/>
        <v>0.11230300406086399</v>
      </c>
      <c r="J102" s="307">
        <f t="shared" si="40"/>
        <v>0.11049749936211621</v>
      </c>
      <c r="K102" s="308">
        <f t="shared" si="41"/>
        <v>4.6170592023807355E-2</v>
      </c>
      <c r="N102" s="312">
        <f t="shared" si="28"/>
        <v>2016</v>
      </c>
      <c r="O102" s="313">
        <f t="shared" si="29"/>
        <v>328584.46388177399</v>
      </c>
      <c r="P102" s="313">
        <f t="shared" si="30"/>
        <v>1988.0000857806299</v>
      </c>
      <c r="Q102" s="314">
        <f t="shared" si="31"/>
        <v>7110.65352915739</v>
      </c>
      <c r="S102" s="312">
        <f t="shared" si="32"/>
        <v>2016</v>
      </c>
      <c r="T102" s="315">
        <f t="shared" si="33"/>
        <v>0.117403004060864</v>
      </c>
      <c r="U102" s="315">
        <f t="shared" si="34"/>
        <v>5.1000000000000004E-3</v>
      </c>
      <c r="V102" s="316">
        <f t="shared" si="35"/>
        <v>6.9055046987477903E-3</v>
      </c>
    </row>
    <row r="103" spans="2:22">
      <c r="B103" s="317">
        <v>2017</v>
      </c>
      <c r="C103" s="324">
        <v>0.21641176239375001</v>
      </c>
      <c r="D103" s="325">
        <v>1.3899999999999999E-2</v>
      </c>
      <c r="E103" s="326">
        <v>2.8017162707789499E-2</v>
      </c>
      <c r="F103" s="327">
        <v>399885.97898805601</v>
      </c>
      <c r="G103" s="328">
        <v>2015.6332869729799</v>
      </c>
      <c r="H103" s="329">
        <v>7309.8738660425097</v>
      </c>
      <c r="I103" s="330">
        <f t="shared" si="39"/>
        <v>0.20251176239375002</v>
      </c>
      <c r="J103" s="331">
        <f t="shared" si="40"/>
        <v>0.18839459968596051</v>
      </c>
      <c r="K103" s="308">
        <f t="shared" si="41"/>
        <v>4.7690416117554868E-2</v>
      </c>
      <c r="N103" s="312">
        <f t="shared" si="28"/>
        <v>2017</v>
      </c>
      <c r="O103" s="313">
        <f t="shared" si="29"/>
        <v>399885.97898805601</v>
      </c>
      <c r="P103" s="313">
        <f t="shared" si="30"/>
        <v>2015.6332869729799</v>
      </c>
      <c r="Q103" s="314">
        <f t="shared" si="31"/>
        <v>7309.8738660425097</v>
      </c>
      <c r="S103" s="312">
        <f t="shared" si="32"/>
        <v>2017</v>
      </c>
      <c r="T103" s="315">
        <f t="shared" si="33"/>
        <v>0.21641176239375001</v>
      </c>
      <c r="U103" s="315">
        <f t="shared" si="34"/>
        <v>1.3899999999999999E-2</v>
      </c>
      <c r="V103" s="316">
        <f t="shared" si="35"/>
        <v>2.8017162707789499E-2</v>
      </c>
    </row>
    <row r="104" spans="2:22">
      <c r="B104" s="305">
        <v>2018</v>
      </c>
      <c r="C104" s="318">
        <v>-4.2321056549010597E-2</v>
      </c>
      <c r="D104" s="319">
        <v>2.3699999999999999E-2</v>
      </c>
      <c r="E104" s="320">
        <v>-1.66923857134026E-4</v>
      </c>
      <c r="F104" s="321">
        <v>382850.00406044698</v>
      </c>
      <c r="G104" s="322">
        <v>2063.4037958742401</v>
      </c>
      <c r="H104" s="323">
        <v>7308.6536737016304</v>
      </c>
      <c r="I104" s="306">
        <f t="shared" si="39"/>
        <v>-6.6021056549010596E-2</v>
      </c>
      <c r="J104" s="307">
        <f t="shared" si="40"/>
        <v>-4.2154132691876574E-2</v>
      </c>
      <c r="K104" s="308">
        <f t="shared" si="41"/>
        <v>4.660801123862246E-2</v>
      </c>
      <c r="N104" s="312">
        <f t="shared" si="28"/>
        <v>2018</v>
      </c>
      <c r="O104" s="313">
        <f t="shared" si="29"/>
        <v>382850.00406044698</v>
      </c>
      <c r="P104" s="313">
        <f t="shared" si="30"/>
        <v>2063.4037958742401</v>
      </c>
      <c r="Q104" s="314">
        <f t="shared" si="31"/>
        <v>7308.6536737016304</v>
      </c>
      <c r="S104" s="312">
        <f t="shared" si="32"/>
        <v>2018</v>
      </c>
      <c r="T104" s="315">
        <f t="shared" si="33"/>
        <v>-4.2321056549010597E-2</v>
      </c>
      <c r="U104" s="315">
        <f t="shared" si="34"/>
        <v>2.3699999999999999E-2</v>
      </c>
      <c r="V104" s="316">
        <f t="shared" si="35"/>
        <v>-1.66923857134026E-4</v>
      </c>
    </row>
    <row r="105" spans="2:22">
      <c r="B105" s="305">
        <v>2019</v>
      </c>
      <c r="C105" s="318">
        <v>0.31223647206653798</v>
      </c>
      <c r="D105" s="319">
        <v>1.55E-2</v>
      </c>
      <c r="E105" s="320">
        <v>9.6356307415483899E-2</v>
      </c>
      <c r="F105" s="321">
        <v>502417.20816184802</v>
      </c>
      <c r="G105" s="322">
        <v>2079.9432826897801</v>
      </c>
      <c r="H105" s="323">
        <v>8012.8885538781296</v>
      </c>
      <c r="I105" s="306">
        <f t="shared" si="39"/>
        <v>0.29673647206653797</v>
      </c>
      <c r="J105" s="307">
        <f t="shared" si="40"/>
        <v>0.21588016465105409</v>
      </c>
      <c r="K105" s="308">
        <f t="shared" si="41"/>
        <v>4.8254771937504382E-2</v>
      </c>
      <c r="N105" s="312">
        <f t="shared" si="28"/>
        <v>2019</v>
      </c>
      <c r="O105" s="313">
        <f t="shared" si="29"/>
        <v>502417.20816184802</v>
      </c>
      <c r="P105" s="313">
        <f t="shared" si="30"/>
        <v>2079.9432826897801</v>
      </c>
      <c r="Q105" s="314">
        <f t="shared" si="31"/>
        <v>8012.8885538781296</v>
      </c>
      <c r="S105" s="312">
        <f t="shared" si="32"/>
        <v>2019</v>
      </c>
      <c r="T105" s="315">
        <f t="shared" si="33"/>
        <v>0.31223647206653798</v>
      </c>
      <c r="U105" s="315">
        <f t="shared" si="34"/>
        <v>1.55E-2</v>
      </c>
      <c r="V105" s="316">
        <f t="shared" si="35"/>
        <v>9.6356307415483899E-2</v>
      </c>
    </row>
    <row r="106" spans="2:22">
      <c r="B106" s="305">
        <v>2020</v>
      </c>
      <c r="C106" s="318">
        <v>0.18013916144089001</v>
      </c>
      <c r="D106" s="319">
        <v>8.9999999999999998E-4</v>
      </c>
      <c r="E106" s="320">
        <v>0.113318976466141</v>
      </c>
      <c r="F106" s="321">
        <v>592868.14997451496</v>
      </c>
      <c r="G106" s="322">
        <v>2081.8152316442001</v>
      </c>
      <c r="H106" s="323">
        <v>8920.9008833408607</v>
      </c>
      <c r="I106" s="306">
        <f t="shared" si="39"/>
        <v>0.17923916144089</v>
      </c>
      <c r="J106" s="307">
        <f t="shared" si="40"/>
        <v>6.6820184974749008E-2</v>
      </c>
      <c r="K106" s="308">
        <f t="shared" si="41"/>
        <v>4.8441734554471871E-2</v>
      </c>
      <c r="N106" s="312">
        <f t="shared" si="28"/>
        <v>2020</v>
      </c>
      <c r="O106" s="313">
        <f t="shared" si="29"/>
        <v>592868.14997451496</v>
      </c>
      <c r="P106" s="313">
        <f t="shared" si="30"/>
        <v>2081.8152316442001</v>
      </c>
      <c r="Q106" s="314">
        <f t="shared" si="31"/>
        <v>8920.9008833408607</v>
      </c>
      <c r="S106" s="312">
        <f t="shared" si="32"/>
        <v>2020</v>
      </c>
      <c r="T106" s="315">
        <f t="shared" si="33"/>
        <v>0.18013916144089001</v>
      </c>
      <c r="U106" s="315">
        <f t="shared" si="34"/>
        <v>8.9999999999999998E-4</v>
      </c>
      <c r="V106" s="316">
        <f t="shared" si="35"/>
        <v>0.113318976466141</v>
      </c>
    </row>
    <row r="107" spans="2:22">
      <c r="B107" s="305">
        <v>2021</v>
      </c>
      <c r="C107" s="318">
        <v>0.28470000000000001</v>
      </c>
      <c r="D107" s="319">
        <v>5.9999999999999995E-4</v>
      </c>
      <c r="E107" s="320">
        <v>-4.4200000000000003E-2</v>
      </c>
      <c r="F107" s="321">
        <v>761710.83</v>
      </c>
      <c r="G107" s="322">
        <v>2083.06</v>
      </c>
      <c r="H107" s="323">
        <v>8526.9500000000007</v>
      </c>
      <c r="I107" s="306">
        <v>0.28410000000000002</v>
      </c>
      <c r="J107" s="307">
        <v>0.32890000000000003</v>
      </c>
      <c r="K107" s="308">
        <f t="shared" si="41"/>
        <v>5.1322007322813556E-2</v>
      </c>
      <c r="N107" s="312">
        <f t="shared" si="28"/>
        <v>2021</v>
      </c>
      <c r="O107" s="313">
        <f t="shared" si="29"/>
        <v>761710.83</v>
      </c>
      <c r="P107" s="313">
        <f t="shared" si="30"/>
        <v>2083.06</v>
      </c>
      <c r="Q107" s="314">
        <f t="shared" si="31"/>
        <v>8526.9500000000007</v>
      </c>
      <c r="S107" s="312">
        <f t="shared" si="32"/>
        <v>2021</v>
      </c>
      <c r="T107" s="315">
        <f t="shared" si="33"/>
        <v>0.28470000000000001</v>
      </c>
      <c r="U107" s="315">
        <f t="shared" si="34"/>
        <v>5.9999999999999995E-4</v>
      </c>
      <c r="V107" s="316">
        <f t="shared" si="35"/>
        <v>-4.4200000000000003E-2</v>
      </c>
    </row>
    <row r="108" spans="2:22">
      <c r="B108" s="332">
        <v>2022</v>
      </c>
      <c r="C108" s="333">
        <v>-0.180089715453466</v>
      </c>
      <c r="D108" s="334">
        <v>2.02477911646586E-2</v>
      </c>
      <c r="E108" s="335">
        <v>-0.17828171538250701</v>
      </c>
      <c r="F108" s="336">
        <v>624534.54633322801</v>
      </c>
      <c r="G108" s="337">
        <v>2140.5081359013898</v>
      </c>
      <c r="H108" s="338">
        <v>7006.7514067499797</v>
      </c>
      <c r="I108" s="333">
        <v>-0.20033750661812499</v>
      </c>
      <c r="J108" s="334">
        <v>-1.80800007095921E-3</v>
      </c>
      <c r="K108" s="308">
        <f t="shared" si="41"/>
        <v>5.0613437213325563E-2</v>
      </c>
      <c r="N108" s="339">
        <f t="shared" si="28"/>
        <v>2022</v>
      </c>
      <c r="O108" s="340">
        <f t="shared" si="29"/>
        <v>624534.54633322801</v>
      </c>
      <c r="P108" s="340">
        <f t="shared" si="30"/>
        <v>2140.5081359013898</v>
      </c>
      <c r="Q108" s="341">
        <f t="shared" si="31"/>
        <v>7006.7514067499797</v>
      </c>
      <c r="S108" s="339">
        <f t="shared" si="32"/>
        <v>2022</v>
      </c>
      <c r="T108" s="342">
        <f t="shared" si="33"/>
        <v>-0.180089715453466</v>
      </c>
      <c r="U108" s="343">
        <f t="shared" si="34"/>
        <v>2.02477911646586E-2</v>
      </c>
      <c r="V108" s="344">
        <f t="shared" si="35"/>
        <v>-0.17828171538250701</v>
      </c>
    </row>
    <row r="109" spans="2:22">
      <c r="K109" s="345"/>
      <c r="P109" s="346"/>
      <c r="Q109" s="346"/>
    </row>
    <row r="110" spans="2:22">
      <c r="B110" s="277"/>
      <c r="C110" s="345"/>
      <c r="D110" s="345"/>
      <c r="E110" s="345"/>
      <c r="F110" s="347"/>
      <c r="G110" s="347"/>
      <c r="H110" s="347"/>
      <c r="I110" s="345"/>
      <c r="J110" s="345"/>
      <c r="K110" s="345"/>
      <c r="P110" s="346"/>
      <c r="Q110" s="346"/>
    </row>
    <row r="111" spans="2:22">
      <c r="E111" s="283"/>
      <c r="H111" s="523" t="s">
        <v>378</v>
      </c>
      <c r="I111" s="523"/>
      <c r="J111" s="523" t="s">
        <v>379</v>
      </c>
      <c r="K111" s="523"/>
    </row>
    <row r="112" spans="2:22" ht="25.5">
      <c r="C112" s="524" t="s">
        <v>380</v>
      </c>
      <c r="D112" s="524"/>
      <c r="E112" s="524"/>
      <c r="F112" s="348" t="s">
        <v>360</v>
      </c>
      <c r="H112" s="286" t="s">
        <v>381</v>
      </c>
      <c r="I112" s="288" t="s">
        <v>382</v>
      </c>
      <c r="J112" s="349" t="s">
        <v>381</v>
      </c>
      <c r="K112" s="288" t="s">
        <v>382</v>
      </c>
    </row>
    <row r="113" spans="1:23">
      <c r="B113" s="350" t="str">
        <f>C$132+1&amp;" - "&amp;C$133</f>
        <v>1928 - 2022</v>
      </c>
      <c r="C113" s="351">
        <f>AVERAGE(C$14:C$107)</f>
        <v>0.11820350222305979</v>
      </c>
      <c r="D113" s="351">
        <f>AVERAGE(D$14:D$107)</f>
        <v>3.3343776595744681E-2</v>
      </c>
      <c r="E113" s="351">
        <f>AVERAGE(E$14:E$107)</f>
        <v>5.1103973171546274E-2</v>
      </c>
      <c r="F113" s="352">
        <f>B106-B13</f>
        <v>93</v>
      </c>
      <c r="H113" s="353">
        <f t="shared" ref="H113:H118" si="42">C113-D113</f>
        <v>8.4859725627315113E-2</v>
      </c>
      <c r="I113" s="354">
        <f t="shared" ref="I113:I118" si="43">C113-E113</f>
        <v>6.7099529051513521E-2</v>
      </c>
      <c r="J113" s="353">
        <f>STDEV(I14:I$107)/(($B$107-$B$14+1)^0.5)</f>
        <v>2.0458564707791057E-2</v>
      </c>
      <c r="K113" s="354">
        <f>STDEV(J14:J$107)/(($B$107-$B$14+1)^0.5)</f>
        <v>2.1749645327950335E-2</v>
      </c>
    </row>
    <row r="114" spans="1:23">
      <c r="B114" s="355" t="str">
        <f>C$133-F114+1&amp;" - "&amp;C$133</f>
        <v>1973 - 2022</v>
      </c>
      <c r="C114" s="356">
        <f>AVERAGE(C$58:C$107)</f>
        <v>0.12466660767250107</v>
      </c>
      <c r="D114" s="356">
        <f>AVERAGE(D$58:D$107)</f>
        <v>4.4415299999999984E-2</v>
      </c>
      <c r="E114" s="356">
        <f>AVERAGE(E$58:E$107)</f>
        <v>7.0018595074019807E-2</v>
      </c>
      <c r="F114" s="357">
        <v>50</v>
      </c>
      <c r="H114" s="306">
        <f t="shared" si="42"/>
        <v>8.0251307672501077E-2</v>
      </c>
      <c r="I114" s="308">
        <f t="shared" si="43"/>
        <v>5.464801259848126E-2</v>
      </c>
      <c r="J114" s="306">
        <f>STDEV(I$57:I$107)/(($B$107-$B$57+1)^0.5)</f>
        <v>2.3967448543725678E-2</v>
      </c>
      <c r="K114" s="358">
        <f>STDEV(J$57:J$107)/(($B$107-$B$57+1)^0.5)</f>
        <v>2.7047148595148035E-2</v>
      </c>
    </row>
    <row r="115" spans="1:23">
      <c r="B115" s="355" t="str">
        <f>C$133-F115+1&amp;" - "&amp;C$133</f>
        <v>1983 - 2022</v>
      </c>
      <c r="C115" s="356">
        <f>AVERAGE(C$68:C$107)</f>
        <v>0.13471986181626056</v>
      </c>
      <c r="D115" s="356">
        <f>AVERAGE(D$68:D$107)</f>
        <v>3.6285999999999992E-2</v>
      </c>
      <c r="E115" s="356">
        <f>AVERAGE(E$68:E$107)</f>
        <v>7.8911216841441797E-2</v>
      </c>
      <c r="F115" s="357">
        <v>40</v>
      </c>
      <c r="H115" s="306">
        <f t="shared" si="42"/>
        <v>9.8433861816260571E-2</v>
      </c>
      <c r="I115" s="308">
        <f t="shared" si="43"/>
        <v>5.5808644974818758E-2</v>
      </c>
      <c r="J115" s="306">
        <f>STDEV(I$67:I$107)/(($B$107-$B$67+1)^0.5)</f>
        <v>2.5526745452131908E-2</v>
      </c>
      <c r="K115" s="358">
        <f>STDEV(J$67:J$107)/(($B$107-$B$67+1)^0.5)</f>
        <v>3.0132447557779676E-2</v>
      </c>
    </row>
    <row r="116" spans="1:23">
      <c r="B116" s="355" t="str">
        <f>C$133-F116+1&amp;" - "&amp;C$133</f>
        <v>1993 - 2022</v>
      </c>
      <c r="C116" s="356">
        <f>AVERAGE(C$78:C$107)</f>
        <v>0.11975062548968698</v>
      </c>
      <c r="D116" s="356">
        <f>AVERAGE(D$78:D$107)</f>
        <v>2.3036333333333329E-2</v>
      </c>
      <c r="E116" s="356">
        <f>AVERAGE(E$78:E$107)</f>
        <v>5.7901140439259202E-2</v>
      </c>
      <c r="F116" s="357">
        <v>30</v>
      </c>
      <c r="H116" s="306">
        <f t="shared" si="42"/>
        <v>9.671429215635366E-2</v>
      </c>
      <c r="I116" s="308">
        <f t="shared" si="43"/>
        <v>6.1849485050427783E-2</v>
      </c>
      <c r="J116" s="306">
        <f>STDEV(I$77:I$107)/(($B$107-$B$77+1)^0.5)</f>
        <v>3.072822487761576E-2</v>
      </c>
      <c r="K116" s="358">
        <f>STDEV(J$77:J$107)/(($B$107-$B$77+1)^0.5)</f>
        <v>3.7958302695850842E-2</v>
      </c>
    </row>
    <row r="117" spans="1:23">
      <c r="B117" s="355" t="str">
        <f>C$133-F117+1&amp;" - "&amp;C$133</f>
        <v>2003 - 2022</v>
      </c>
      <c r="C117" s="356">
        <f>AVERAGE(C$88:C$107)</f>
        <v>0.10957181607081243</v>
      </c>
      <c r="D117" s="356">
        <f>AVERAGE(D$88:D$107)</f>
        <v>1.2236999999999998E-2</v>
      </c>
      <c r="E117" s="356">
        <f>AVERAGE(E$88:E$107)</f>
        <v>4.7212149171701259E-2</v>
      </c>
      <c r="F117" s="357">
        <v>20</v>
      </c>
      <c r="H117" s="306">
        <f t="shared" si="42"/>
        <v>9.733481607081243E-2</v>
      </c>
      <c r="I117" s="308">
        <f t="shared" si="43"/>
        <v>6.2359666899111169E-2</v>
      </c>
      <c r="J117" s="306">
        <f>STDEV(I$87:I$107)/(($B$107-$B$87+1)^0.5)</f>
        <v>3.9711271534778207E-2</v>
      </c>
      <c r="K117" s="358">
        <f>STDEV(J$87:J$107)/(($B$107-$B$87+1)^0.5)</f>
        <v>5.1049701985890365E-2</v>
      </c>
    </row>
    <row r="118" spans="1:23">
      <c r="B118" s="359" t="str">
        <f>C$133-F118+1&amp;" - "&amp;C$133</f>
        <v>2013 - 2022</v>
      </c>
      <c r="C118" s="360">
        <f>AVERAGE(C$98:C$107)</f>
        <v>0.16977697657821161</v>
      </c>
      <c r="D118" s="360">
        <f>AVERAGE(D$98:D$107)</f>
        <v>6.3490000000000005E-3</v>
      </c>
      <c r="E118" s="360">
        <f>AVERAGE(E$98:E$107)</f>
        <v>2.5920586049758519E-2</v>
      </c>
      <c r="F118" s="361">
        <v>10</v>
      </c>
      <c r="H118" s="333">
        <f t="shared" si="42"/>
        <v>0.16342797657821162</v>
      </c>
      <c r="I118" s="335">
        <f t="shared" si="43"/>
        <v>0.14385639052845309</v>
      </c>
      <c r="J118" s="333">
        <f>STDEV(I$97:I$107)/(($B$107-$B$97+1)^0.5)</f>
        <v>3.7729859252412061E-2</v>
      </c>
      <c r="K118" s="362">
        <f>STDEV(J$97:J$107)/(($B$107-$B$97+1)^0.5)</f>
        <v>4.8833428667400224E-2</v>
      </c>
    </row>
    <row r="119" spans="1:23">
      <c r="B119" s="277"/>
      <c r="C119" s="345"/>
      <c r="D119" s="345"/>
      <c r="E119" s="345"/>
      <c r="G119" s="283"/>
      <c r="H119" s="283"/>
      <c r="I119" s="283"/>
      <c r="J119" s="283"/>
    </row>
    <row r="120" spans="1:23">
      <c r="H120" s="523" t="s">
        <v>378</v>
      </c>
      <c r="I120" s="523"/>
    </row>
    <row r="121" spans="1:23" ht="25.5">
      <c r="C121" s="524" t="s">
        <v>383</v>
      </c>
      <c r="D121" s="524"/>
      <c r="E121" s="524"/>
      <c r="F121" s="348" t="str">
        <f t="shared" ref="F121:F127" si="44">F112</f>
        <v>Years</v>
      </c>
      <c r="H121" s="286" t="s">
        <v>381</v>
      </c>
      <c r="I121" s="288" t="s">
        <v>382</v>
      </c>
    </row>
    <row r="122" spans="1:23">
      <c r="B122" s="350" t="str">
        <f t="shared" ref="B122:B127" si="45">B113</f>
        <v>1928 - 2022</v>
      </c>
      <c r="C122" s="363">
        <f>(F$108/F$13)^(1/($B$108-$B$13))-1</f>
        <v>9.6360110485247841E-2</v>
      </c>
      <c r="D122" s="363">
        <f>(G$108/G$13)^(1/($B$108-$B$13))-1</f>
        <v>3.2774344351723661E-2</v>
      </c>
      <c r="E122" s="363">
        <f>(H$108/H$13)^(1/($B$108-$B$13))-1</f>
        <v>4.5746673271922278E-2</v>
      </c>
      <c r="F122" s="364">
        <f t="shared" si="44"/>
        <v>93</v>
      </c>
      <c r="H122" s="353">
        <f t="shared" ref="H122:I127" si="46">$C122-D122</f>
        <v>6.358576613352418E-2</v>
      </c>
      <c r="I122" s="354">
        <f t="shared" si="46"/>
        <v>5.0613437213325563E-2</v>
      </c>
      <c r="L122" s="283"/>
    </row>
    <row r="123" spans="1:23">
      <c r="B123" s="355" t="str">
        <f t="shared" si="45"/>
        <v>1973 - 2022</v>
      </c>
      <c r="C123" s="365">
        <f>(F$108/F$58)^(1/($B$108-$B$58))-1</f>
        <v>0.10244207952869155</v>
      </c>
      <c r="D123" s="365">
        <f>(G$108/G$58)^(1/($B$108-$B$58))-1</f>
        <v>4.3467909999429954E-2</v>
      </c>
      <c r="E123" s="365">
        <f>(H$108/H$58)^(1/($B$108-$B$58))-1</f>
        <v>6.1202494941573704E-2</v>
      </c>
      <c r="F123" s="357">
        <f t="shared" si="44"/>
        <v>50</v>
      </c>
      <c r="H123" s="306">
        <f t="shared" si="46"/>
        <v>5.89741695292616E-2</v>
      </c>
      <c r="I123" s="308">
        <f t="shared" si="46"/>
        <v>4.123958458711785E-2</v>
      </c>
    </row>
    <row r="124" spans="1:23">
      <c r="B124" s="355" t="str">
        <f t="shared" si="45"/>
        <v>1983 - 2022</v>
      </c>
      <c r="C124" s="365">
        <f>(F$108/F$68)^(1/($B$108-$B$68))-1</f>
        <v>0.11149321317786942</v>
      </c>
      <c r="D124" s="365">
        <f>(G$108/G$68)^(1/($B$108-$B$68))-1</f>
        <v>3.3669458880283276E-2</v>
      </c>
      <c r="E124" s="366">
        <f>(H$108/H$68)^(1/($B$108-$B$68))-1</f>
        <v>6.148821514896885E-2</v>
      </c>
      <c r="F124" s="357">
        <f t="shared" si="44"/>
        <v>40</v>
      </c>
      <c r="H124" s="306">
        <f t="shared" si="46"/>
        <v>7.7823754297586145E-2</v>
      </c>
      <c r="I124" s="367">
        <f t="shared" si="46"/>
        <v>5.0004998028900571E-2</v>
      </c>
    </row>
    <row r="125" spans="1:23">
      <c r="B125" s="355" t="str">
        <f t="shared" si="45"/>
        <v>1993 - 2022</v>
      </c>
      <c r="C125" s="365">
        <f>(F$108/F$78)^(1/($B$108-$B$78))-1</f>
        <v>9.5521045731461918E-2</v>
      </c>
      <c r="D125" s="365">
        <f>(G$108/G$78)^(1/($B$108-$B$78))-1</f>
        <v>2.2377979225385536E-2</v>
      </c>
      <c r="E125" s="365">
        <f>(H$108/H$78)^(1/($B$108-$B$78))-1</f>
        <v>4.4272568762560915E-2</v>
      </c>
      <c r="F125" s="357">
        <f t="shared" si="44"/>
        <v>30</v>
      </c>
      <c r="H125" s="306">
        <f t="shared" si="46"/>
        <v>7.3143066506076382E-2</v>
      </c>
      <c r="I125" s="308">
        <f t="shared" si="46"/>
        <v>5.1248476968901002E-2</v>
      </c>
    </row>
    <row r="126" spans="1:23" s="276" customFormat="1" ht="12.75">
      <c r="A126" s="275"/>
      <c r="B126" s="355" t="str">
        <f t="shared" si="45"/>
        <v>2003 - 2022</v>
      </c>
      <c r="C126" s="365">
        <f>(F$108/F$88)^(1/($B$108-$B$88))-1</f>
        <v>9.7009419849025447E-2</v>
      </c>
      <c r="D126" s="365">
        <f>(G$108/G$88)^(1/($B$108-$B$88))-1</f>
        <v>1.2308100200318473E-2</v>
      </c>
      <c r="E126" s="365">
        <f>(H$108/H$88)^(1/($B$108-$B$88))-1</f>
        <v>2.6786528976298074E-2</v>
      </c>
      <c r="F126" s="357">
        <f t="shared" si="44"/>
        <v>20</v>
      </c>
      <c r="G126" s="275"/>
      <c r="H126" s="306">
        <f t="shared" si="46"/>
        <v>8.4701319648706974E-2</v>
      </c>
      <c r="I126" s="308">
        <f t="shared" si="46"/>
        <v>7.0222890872727373E-2</v>
      </c>
      <c r="J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</row>
    <row r="127" spans="1:23">
      <c r="B127" s="359" t="str">
        <f t="shared" si="45"/>
        <v>2013 - 2022</v>
      </c>
      <c r="C127" s="368">
        <f>(F$108/F$98)^(1/($B$108-$B$98))-1</f>
        <v>0.12437866854698432</v>
      </c>
      <c r="D127" s="368">
        <f>(G$108/G$98)^(1/($B$108-$B$98))-1</f>
        <v>8.2628076249748883E-3</v>
      </c>
      <c r="E127" s="368">
        <f>(H$108/H$98)^(1/($B$108-$B$98))-1</f>
        <v>1.1539950036607571E-3</v>
      </c>
      <c r="F127" s="361">
        <f t="shared" si="44"/>
        <v>10</v>
      </c>
      <c r="H127" s="333">
        <f t="shared" si="46"/>
        <v>0.11611586092200943</v>
      </c>
      <c r="I127" s="335">
        <f t="shared" si="46"/>
        <v>0.12322467354332356</v>
      </c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76"/>
      <c r="W127" s="276"/>
    </row>
    <row r="128" spans="1:23">
      <c r="C128" s="275" t="s">
        <v>384</v>
      </c>
    </row>
    <row r="129" spans="2:15">
      <c r="B129" s="1" t="s">
        <v>385</v>
      </c>
      <c r="C129" s="1"/>
    </row>
    <row r="130" spans="2:15">
      <c r="B130" s="525" t="s">
        <v>386</v>
      </c>
      <c r="C130" s="525"/>
      <c r="H130" s="277"/>
    </row>
    <row r="131" spans="2:15">
      <c r="B131" s="275" t="s">
        <v>387</v>
      </c>
      <c r="H131" s="277"/>
    </row>
    <row r="132" spans="2:15">
      <c r="B132" s="275" t="s">
        <v>388</v>
      </c>
      <c r="C132" s="277">
        <f>MIN(B$13:B$108)</f>
        <v>1927</v>
      </c>
    </row>
    <row r="133" spans="2:15">
      <c r="B133" s="275" t="s">
        <v>389</v>
      </c>
      <c r="C133" s="277">
        <f>MAX(B$13:B$108)</f>
        <v>2022</v>
      </c>
    </row>
    <row r="134" spans="2:15">
      <c r="C134" s="281" t="str">
        <f>C12</f>
        <v>S&amp;P 500</v>
      </c>
      <c r="D134" s="281" t="str">
        <f>D12</f>
        <v>3-month T.Bill</v>
      </c>
      <c r="E134" s="281" t="str">
        <f>E12</f>
        <v>10-year T. Bond</v>
      </c>
      <c r="G134" s="369" t="s">
        <v>390</v>
      </c>
      <c r="H134" s="370" t="str">
        <f>C12</f>
        <v>S&amp;P 500</v>
      </c>
      <c r="I134" s="370" t="str">
        <f>D12</f>
        <v>3-month T.Bill</v>
      </c>
      <c r="J134" s="371" t="str">
        <f>E12</f>
        <v>10-year T. Bond</v>
      </c>
      <c r="L134" s="276"/>
      <c r="M134" s="276"/>
      <c r="N134" s="276"/>
      <c r="O134" s="276"/>
    </row>
    <row r="135" spans="2:15">
      <c r="B135" s="277">
        <f t="shared" ref="B135:B140" si="47">F122</f>
        <v>93</v>
      </c>
      <c r="C135" s="283">
        <f t="shared" ref="C135:E140" si="48">C122</f>
        <v>9.6360110485247841E-2</v>
      </c>
      <c r="D135" s="283">
        <f t="shared" si="48"/>
        <v>3.2774344351723661E-2</v>
      </c>
      <c r="E135" s="283">
        <f t="shared" si="48"/>
        <v>4.5746673271922278E-2</v>
      </c>
      <c r="G135" s="372">
        <f>B140</f>
        <v>10</v>
      </c>
      <c r="H135" s="373">
        <f>C140</f>
        <v>0.12437866854698432</v>
      </c>
      <c r="I135" s="373">
        <f>D140</f>
        <v>8.2628076249748883E-3</v>
      </c>
      <c r="J135" s="374">
        <f>E140</f>
        <v>1.1539950036607571E-3</v>
      </c>
      <c r="L135" s="276"/>
      <c r="M135" s="276"/>
      <c r="N135" s="276"/>
      <c r="O135" s="276"/>
    </row>
    <row r="136" spans="2:15">
      <c r="B136" s="277">
        <f t="shared" si="47"/>
        <v>50</v>
      </c>
      <c r="C136" s="283">
        <f t="shared" si="48"/>
        <v>0.10244207952869155</v>
      </c>
      <c r="D136" s="283">
        <f t="shared" si="48"/>
        <v>4.3467909999429954E-2</v>
      </c>
      <c r="E136" s="283">
        <f t="shared" si="48"/>
        <v>6.1202494941573704E-2</v>
      </c>
      <c r="G136" s="375">
        <f>B139</f>
        <v>20</v>
      </c>
      <c r="H136" s="376">
        <f>C139</f>
        <v>9.7009419849025447E-2</v>
      </c>
      <c r="I136" s="376">
        <f>D139</f>
        <v>1.2308100200318473E-2</v>
      </c>
      <c r="J136" s="377">
        <f>E139</f>
        <v>2.6786528976298074E-2</v>
      </c>
      <c r="L136" s="276"/>
      <c r="M136" s="276"/>
      <c r="N136" s="276"/>
      <c r="O136" s="276"/>
    </row>
    <row r="137" spans="2:15">
      <c r="B137" s="277">
        <f t="shared" si="47"/>
        <v>40</v>
      </c>
      <c r="C137" s="283">
        <f t="shared" si="48"/>
        <v>0.11149321317786942</v>
      </c>
      <c r="D137" s="283">
        <f t="shared" si="48"/>
        <v>3.3669458880283276E-2</v>
      </c>
      <c r="E137" s="283">
        <f t="shared" si="48"/>
        <v>6.148821514896885E-2</v>
      </c>
      <c r="G137" s="375">
        <f>B138</f>
        <v>30</v>
      </c>
      <c r="H137" s="376">
        <f>C138</f>
        <v>9.5521045731461918E-2</v>
      </c>
      <c r="I137" s="376">
        <f>D138</f>
        <v>2.2377979225385536E-2</v>
      </c>
      <c r="J137" s="377">
        <f>E138</f>
        <v>4.4272568762560915E-2</v>
      </c>
      <c r="L137" s="276"/>
      <c r="M137" s="276"/>
      <c r="N137" s="276"/>
      <c r="O137" s="276"/>
    </row>
    <row r="138" spans="2:15">
      <c r="B138" s="277">
        <f t="shared" si="47"/>
        <v>30</v>
      </c>
      <c r="C138" s="283">
        <f t="shared" si="48"/>
        <v>9.5521045731461918E-2</v>
      </c>
      <c r="D138" s="283">
        <f t="shared" si="48"/>
        <v>2.2377979225385536E-2</v>
      </c>
      <c r="E138" s="283">
        <f t="shared" si="48"/>
        <v>4.4272568762560915E-2</v>
      </c>
      <c r="G138" s="375">
        <f>B137</f>
        <v>40</v>
      </c>
      <c r="H138" s="376">
        <f>C137</f>
        <v>0.11149321317786942</v>
      </c>
      <c r="I138" s="376">
        <f>D137</f>
        <v>3.3669458880283276E-2</v>
      </c>
      <c r="J138" s="377">
        <f>E137</f>
        <v>6.148821514896885E-2</v>
      </c>
      <c r="L138" s="276"/>
      <c r="M138" s="276"/>
      <c r="N138" s="276"/>
      <c r="O138" s="276"/>
    </row>
    <row r="139" spans="2:15">
      <c r="B139" s="277">
        <f t="shared" si="47"/>
        <v>20</v>
      </c>
      <c r="C139" s="283">
        <f t="shared" si="48"/>
        <v>9.7009419849025447E-2</v>
      </c>
      <c r="D139" s="283">
        <f t="shared" si="48"/>
        <v>1.2308100200318473E-2</v>
      </c>
      <c r="E139" s="283">
        <f t="shared" si="48"/>
        <v>2.6786528976298074E-2</v>
      </c>
      <c r="G139" s="375">
        <f>B136</f>
        <v>50</v>
      </c>
      <c r="H139" s="376">
        <f>C136</f>
        <v>0.10244207952869155</v>
      </c>
      <c r="I139" s="376">
        <f>D136</f>
        <v>4.3467909999429954E-2</v>
      </c>
      <c r="J139" s="377">
        <f>E136</f>
        <v>6.1202494941573704E-2</v>
      </c>
      <c r="L139" s="276"/>
      <c r="M139" s="276"/>
      <c r="N139" s="276"/>
      <c r="O139" s="276"/>
    </row>
    <row r="140" spans="2:15">
      <c r="B140" s="277">
        <f t="shared" si="47"/>
        <v>10</v>
      </c>
      <c r="C140" s="283">
        <f t="shared" si="48"/>
        <v>0.12437866854698432</v>
      </c>
      <c r="D140" s="283">
        <f t="shared" si="48"/>
        <v>8.2628076249748883E-3</v>
      </c>
      <c r="E140" s="283">
        <f t="shared" si="48"/>
        <v>1.1539950036607571E-3</v>
      </c>
      <c r="G140" s="378">
        <f>B135</f>
        <v>93</v>
      </c>
      <c r="H140" s="379">
        <f>C135</f>
        <v>9.6360110485247841E-2</v>
      </c>
      <c r="I140" s="379">
        <f>D135</f>
        <v>3.2774344351723661E-2</v>
      </c>
      <c r="J140" s="380">
        <f>E135</f>
        <v>4.5746673271922278E-2</v>
      </c>
      <c r="L140" s="276"/>
      <c r="M140" s="276"/>
      <c r="N140" s="276"/>
      <c r="O140" s="276"/>
    </row>
    <row r="141" spans="2:15">
      <c r="L141" s="276"/>
      <c r="M141" s="276"/>
      <c r="N141" s="276"/>
      <c r="O141" s="276"/>
    </row>
    <row r="142" spans="2:15" ht="25.5">
      <c r="B142" s="381" t="s">
        <v>391</v>
      </c>
      <c r="C142" s="382" t="s">
        <v>371</v>
      </c>
      <c r="D142" s="382" t="s">
        <v>373</v>
      </c>
      <c r="E142" s="383" t="s">
        <v>382</v>
      </c>
      <c r="L142" s="276"/>
      <c r="M142" s="276"/>
      <c r="N142" s="276"/>
      <c r="O142" s="276"/>
    </row>
    <row r="143" spans="2:15">
      <c r="B143" s="384" t="s">
        <v>389</v>
      </c>
      <c r="C143" s="385">
        <f>MAX(C$122:C$127)</f>
        <v>0.12437866854698432</v>
      </c>
      <c r="D143" s="385">
        <f>MAX(D$122:D$127)</f>
        <v>4.3467909999429954E-2</v>
      </c>
      <c r="E143" s="386">
        <f>MAX(E$122:E$127)</f>
        <v>6.148821514896885E-2</v>
      </c>
      <c r="L143" s="276"/>
      <c r="M143" s="276"/>
      <c r="N143" s="276"/>
      <c r="O143" s="276"/>
    </row>
    <row r="144" spans="2:15">
      <c r="B144" s="384" t="s">
        <v>388</v>
      </c>
      <c r="C144" s="385">
        <f>MIN(C$122:C$127)</f>
        <v>9.5521045731461918E-2</v>
      </c>
      <c r="D144" s="385">
        <f>MIN(D$122:D$127)</f>
        <v>8.2628076249748883E-3</v>
      </c>
      <c r="E144" s="386">
        <f>MIN(E$122:E$127)</f>
        <v>1.1539950036607571E-3</v>
      </c>
      <c r="L144" s="276"/>
      <c r="M144" s="276"/>
      <c r="N144" s="276"/>
      <c r="O144" s="276"/>
    </row>
    <row r="145" spans="2:15">
      <c r="B145" s="387" t="s">
        <v>392</v>
      </c>
      <c r="C145" s="388">
        <f>C143-C144</f>
        <v>2.8857622815522399E-2</v>
      </c>
      <c r="D145" s="388">
        <f>D143-D144</f>
        <v>3.5205102374455066E-2</v>
      </c>
      <c r="E145" s="389">
        <f>E143-E144</f>
        <v>6.0334220145308093E-2</v>
      </c>
      <c r="L145" s="276"/>
      <c r="M145" s="276"/>
      <c r="N145" s="276"/>
      <c r="O145" s="276"/>
    </row>
    <row r="146" spans="2:15">
      <c r="L146" s="276"/>
      <c r="M146" s="276"/>
      <c r="N146" s="276"/>
      <c r="O146" s="276"/>
    </row>
    <row r="148" spans="2:15">
      <c r="I148" s="283"/>
    </row>
    <row r="149" spans="2:15">
      <c r="I149" s="283"/>
    </row>
    <row r="150" spans="2:15">
      <c r="F150" s="283"/>
      <c r="K150" s="281" t="s">
        <v>393</v>
      </c>
      <c r="M150" s="521" t="s">
        <v>394</v>
      </c>
      <c r="N150" s="521"/>
      <c r="O150" s="521"/>
    </row>
    <row r="151" spans="2:15">
      <c r="G151" s="390" t="s">
        <v>395</v>
      </c>
      <c r="H151" s="390" t="s">
        <v>396</v>
      </c>
      <c r="I151" s="390" t="s">
        <v>397</v>
      </c>
      <c r="K151" s="391" t="str">
        <f t="shared" ref="K151:K156" si="49">IF(J$152=TRUE(),I151,H151)</f>
        <v>Históricos</v>
      </c>
      <c r="N151" s="281" t="str">
        <f t="shared" ref="N151:O157" si="50">H151</f>
        <v>Históricos</v>
      </c>
      <c r="O151" s="281" t="str">
        <f t="shared" si="50"/>
        <v>Spot</v>
      </c>
    </row>
    <row r="152" spans="2:15">
      <c r="B152" s="526" t="s">
        <v>208</v>
      </c>
      <c r="C152" s="526"/>
      <c r="D152" s="526"/>
      <c r="E152" s="526"/>
      <c r="G152" s="392" t="s">
        <v>398</v>
      </c>
      <c r="H152" s="393">
        <f>E124</f>
        <v>6.148821514896885E-2</v>
      </c>
      <c r="I152" s="394">
        <f>M327/100</f>
        <v>3.673733333333333E-2</v>
      </c>
      <c r="J152" s="395" t="b">
        <f>FALSE()</f>
        <v>0</v>
      </c>
      <c r="K152" s="396">
        <f t="shared" si="49"/>
        <v>6.148821514896885E-2</v>
      </c>
      <c r="M152" s="275" t="str">
        <f t="shared" ref="M152:M157" si="51">G152</f>
        <v>Rl</v>
      </c>
      <c r="N152" s="315">
        <f t="shared" si="50"/>
        <v>6.148821514896885E-2</v>
      </c>
      <c r="O152" s="315">
        <f t="shared" si="50"/>
        <v>3.673733333333333E-2</v>
      </c>
    </row>
    <row r="153" spans="2:15">
      <c r="B153" s="397"/>
      <c r="C153" s="398" t="s">
        <v>212</v>
      </c>
      <c r="D153" s="398" t="s">
        <v>213</v>
      </c>
      <c r="E153" s="399" t="s">
        <v>214</v>
      </c>
      <c r="G153" s="392" t="s">
        <v>399</v>
      </c>
      <c r="H153" s="393">
        <f>C156</f>
        <v>2.65464147746119E-2</v>
      </c>
      <c r="I153" s="393">
        <f>C156</f>
        <v>2.65464147746119E-2</v>
      </c>
      <c r="K153" s="396">
        <f t="shared" si="49"/>
        <v>2.65464147746119E-2</v>
      </c>
      <c r="M153" s="275" t="str">
        <f t="shared" si="51"/>
        <v>Rp</v>
      </c>
      <c r="N153" s="315">
        <f t="shared" si="50"/>
        <v>2.65464147746119E-2</v>
      </c>
      <c r="O153" s="315">
        <f t="shared" si="50"/>
        <v>2.65464147746119E-2</v>
      </c>
    </row>
    <row r="154" spans="2:15">
      <c r="B154" s="527" t="s">
        <v>400</v>
      </c>
      <c r="C154" s="527"/>
      <c r="D154" s="527"/>
      <c r="E154" s="527"/>
      <c r="G154" s="392" t="s">
        <v>401</v>
      </c>
      <c r="H154" s="393">
        <f>C157</f>
        <v>0.02</v>
      </c>
      <c r="I154" s="393">
        <f>C157</f>
        <v>0.02</v>
      </c>
      <c r="K154" s="396">
        <f t="shared" si="49"/>
        <v>0.02</v>
      </c>
      <c r="M154" s="275" t="str">
        <f t="shared" si="51"/>
        <v>Rt</v>
      </c>
      <c r="N154" s="315">
        <f t="shared" si="50"/>
        <v>0.02</v>
      </c>
      <c r="O154" s="315">
        <f t="shared" si="50"/>
        <v>0.02</v>
      </c>
    </row>
    <row r="155" spans="2:15">
      <c r="B155" s="400" t="s">
        <v>231</v>
      </c>
      <c r="C155" s="401">
        <f>IF($J$152=TRUE(),I152,H152)</f>
        <v>6.148821514896885E-2</v>
      </c>
      <c r="D155" s="401">
        <f>C155+D$172+C155*D$172</f>
        <v>8.4629486057037517E-2</v>
      </c>
      <c r="E155" s="402">
        <f>(D155-D$170)/(1+D$170)</f>
        <v>3.4772276377052255E-2</v>
      </c>
      <c r="G155" s="392" t="s">
        <v>402</v>
      </c>
      <c r="H155" s="393">
        <f>I124</f>
        <v>5.0004998028900571E-2</v>
      </c>
      <c r="I155" s="393">
        <f>C124-I152</f>
        <v>7.4755879844536091E-2</v>
      </c>
      <c r="J155" s="403"/>
      <c r="K155" s="396">
        <f t="shared" si="49"/>
        <v>5.0004998028900571E-2</v>
      </c>
      <c r="M155" s="275" t="str">
        <f t="shared" si="51"/>
        <v>Rm-Rl</v>
      </c>
      <c r="N155" s="315">
        <f t="shared" si="50"/>
        <v>5.0004998028900571E-2</v>
      </c>
      <c r="O155" s="315">
        <f t="shared" si="50"/>
        <v>7.4755879844536091E-2</v>
      </c>
    </row>
    <row r="156" spans="2:15">
      <c r="B156" s="400" t="s">
        <v>236</v>
      </c>
      <c r="C156" s="401">
        <v>2.65464147746119E-2</v>
      </c>
      <c r="D156" s="401">
        <f>C156+C156*D$172</f>
        <v>2.7125147319326057E-2</v>
      </c>
      <c r="E156" s="402">
        <f>D156/(1+D$170)</f>
        <v>2.5878284519738653E-2</v>
      </c>
      <c r="G156" s="392" t="s">
        <v>403</v>
      </c>
      <c r="H156" s="393">
        <f>H155*C159</f>
        <v>5.4442822957429707E-2</v>
      </c>
      <c r="I156" s="393">
        <f>I155*C159</f>
        <v>8.1390286807945481E-2</v>
      </c>
      <c r="J156" s="403"/>
      <c r="K156" s="404">
        <f t="shared" si="49"/>
        <v>5.4442822957429707E-2</v>
      </c>
      <c r="M156" s="275" t="str">
        <f t="shared" si="51"/>
        <v>(Rm-Rl)*Bapal</v>
      </c>
      <c r="N156" s="315">
        <f t="shared" si="50"/>
        <v>5.4442822957429707E-2</v>
      </c>
      <c r="O156" s="315">
        <f t="shared" si="50"/>
        <v>8.1390286807945481E-2</v>
      </c>
    </row>
    <row r="157" spans="2:15">
      <c r="B157" s="400" t="s">
        <v>239</v>
      </c>
      <c r="C157" s="401">
        <v>0.02</v>
      </c>
      <c r="D157" s="401">
        <f>C157+C157*D$172</f>
        <v>2.0436015597305922E-2</v>
      </c>
      <c r="E157" s="402">
        <f>D157/(1+D$170)</f>
        <v>1.9496632399858209E-2</v>
      </c>
      <c r="G157" s="405" t="s">
        <v>208</v>
      </c>
      <c r="H157" s="406">
        <f>SUM(H152:H154,H156)</f>
        <v>0.16247745288101045</v>
      </c>
      <c r="I157" s="406">
        <f>SUM(I152:I154,I156)</f>
        <v>0.16467403491589072</v>
      </c>
      <c r="J157" s="403"/>
      <c r="K157" s="407">
        <f>K152+K153+K154+K156</f>
        <v>0.16247745288101045</v>
      </c>
      <c r="M157" s="292" t="str">
        <f t="shared" si="51"/>
        <v>Costo de Capital</v>
      </c>
      <c r="N157" s="408">
        <f t="shared" si="50"/>
        <v>0.16247745288101045</v>
      </c>
      <c r="O157" s="408">
        <f t="shared" si="50"/>
        <v>0.16467403491589072</v>
      </c>
    </row>
    <row r="158" spans="2:15">
      <c r="B158" s="400" t="s">
        <v>247</v>
      </c>
      <c r="C158" s="401">
        <f>IF($J$152=TRUE(),I155,H155)</f>
        <v>5.0004998028900571E-2</v>
      </c>
      <c r="D158" s="401">
        <f>C158+C158*D$172</f>
        <v>5.1095145983093192E-2</v>
      </c>
      <c r="E158" s="402">
        <f>D158/(1+D$170)</f>
        <v>4.8746453236255434E-2</v>
      </c>
      <c r="J158" s="409"/>
      <c r="K158" s="409"/>
    </row>
    <row r="159" spans="2:15">
      <c r="B159" s="400" t="s">
        <v>250</v>
      </c>
      <c r="C159" s="410">
        <f>C165*(1+(1-C173)*C168/C167)</f>
        <v>1.08874762730646</v>
      </c>
      <c r="D159" s="410">
        <f>D165*(1+(1-D173)*D168/D167)</f>
        <v>1.08874762730646</v>
      </c>
      <c r="E159" s="411">
        <f>E165*(1+(1-E173)*E168/E167)</f>
        <v>1.08874762730646</v>
      </c>
    </row>
    <row r="160" spans="2:15">
      <c r="B160" s="412" t="s">
        <v>400</v>
      </c>
      <c r="C160" s="413">
        <f>C155+C156+C157+C158*C159</f>
        <v>0.16247745288101045</v>
      </c>
      <c r="D160" s="413">
        <f>D155+D156+D158*D159</f>
        <v>0.16738435233233348</v>
      </c>
      <c r="E160" s="414">
        <f>E155+E156+E157+E158*E159</f>
        <v>0.13321977859722756</v>
      </c>
    </row>
    <row r="161" spans="2:15">
      <c r="B161" s="528" t="s">
        <v>404</v>
      </c>
      <c r="C161" s="528"/>
      <c r="D161" s="528"/>
      <c r="E161" s="528"/>
    </row>
    <row r="162" spans="2:15">
      <c r="B162" s="400" t="s">
        <v>405</v>
      </c>
      <c r="C162" s="345">
        <f>(D162-C172)/(1+C172)</f>
        <v>9.2722212915529401E-2</v>
      </c>
      <c r="D162" s="345">
        <v>0.11654440933321999</v>
      </c>
      <c r="E162" s="402">
        <f>(D162-D$170)/(1+D$170)</f>
        <v>6.5220165018683413E-2</v>
      </c>
    </row>
    <row r="163" spans="2:15">
      <c r="B163" s="415" t="s">
        <v>406</v>
      </c>
      <c r="C163" s="416">
        <f>C162*(1-C173)</f>
        <v>6.0269438395094112E-2</v>
      </c>
      <c r="D163" s="416">
        <f>D162*(1-D173)</f>
        <v>7.5753866066592998E-2</v>
      </c>
      <c r="E163" s="417">
        <f>E162*(1-E173)</f>
        <v>4.2393107262144222E-2</v>
      </c>
    </row>
    <row r="164" spans="2:15">
      <c r="B164" s="418" t="s">
        <v>285</v>
      </c>
      <c r="C164" s="419">
        <f>C160*C167+C163*C168</f>
        <v>0.16247745288101045</v>
      </c>
      <c r="D164" s="419">
        <f>D160*D167+D163*D168</f>
        <v>0.16738435233233348</v>
      </c>
      <c r="E164" s="420">
        <f>E160*E167+E163*E168</f>
        <v>0.13321977859722756</v>
      </c>
    </row>
    <row r="165" spans="2:15">
      <c r="B165" s="421" t="s">
        <v>407</v>
      </c>
      <c r="C165" s="422">
        <v>1.08874762730646</v>
      </c>
      <c r="D165" s="423">
        <f>C165</f>
        <v>1.08874762730646</v>
      </c>
      <c r="E165" s="424">
        <f>D165</f>
        <v>1.08874762730646</v>
      </c>
    </row>
    <row r="166" spans="2:15">
      <c r="B166" s="425" t="s">
        <v>408</v>
      </c>
      <c r="C166" s="277"/>
      <c r="D166" s="277"/>
      <c r="E166" s="426"/>
    </row>
    <row r="167" spans="2:15">
      <c r="B167" s="427" t="s">
        <v>82</v>
      </c>
      <c r="C167" s="345">
        <v>1</v>
      </c>
      <c r="D167" s="345">
        <f>C167</f>
        <v>1</v>
      </c>
      <c r="E167" s="428">
        <f>D167</f>
        <v>1</v>
      </c>
    </row>
    <row r="168" spans="2:15">
      <c r="B168" s="427" t="s">
        <v>83</v>
      </c>
      <c r="C168" s="345">
        <v>0</v>
      </c>
      <c r="D168" s="345">
        <f>C168</f>
        <v>0</v>
      </c>
      <c r="E168" s="428">
        <f>D168</f>
        <v>0</v>
      </c>
    </row>
    <row r="169" spans="2:15">
      <c r="B169" s="425" t="s">
        <v>5</v>
      </c>
      <c r="E169" s="429"/>
    </row>
    <row r="170" spans="2:15">
      <c r="B170" s="427" t="s">
        <v>409</v>
      </c>
      <c r="C170" s="345">
        <v>4.8181818181818201E-2</v>
      </c>
      <c r="D170" s="345">
        <f t="shared" ref="D170:E173" si="52">C170</f>
        <v>4.8181818181818201E-2</v>
      </c>
      <c r="E170" s="428">
        <f t="shared" si="52"/>
        <v>4.8181818181818201E-2</v>
      </c>
    </row>
    <row r="171" spans="2:15">
      <c r="B171" s="427" t="s">
        <v>410</v>
      </c>
      <c r="C171" s="345">
        <v>2.5818181818181799E-2</v>
      </c>
      <c r="D171" s="345">
        <f t="shared" si="52"/>
        <v>2.5818181818181799E-2</v>
      </c>
      <c r="E171" s="428">
        <f t="shared" si="52"/>
        <v>2.5818181818181799E-2</v>
      </c>
    </row>
    <row r="172" spans="2:15">
      <c r="B172" s="427" t="s">
        <v>411</v>
      </c>
      <c r="C172" s="401">
        <f>(C170-C171)/(1+C171)</f>
        <v>2.1800779865296032E-2</v>
      </c>
      <c r="D172" s="345">
        <f t="shared" si="52"/>
        <v>2.1800779865296032E-2</v>
      </c>
      <c r="E172" s="428">
        <f t="shared" si="52"/>
        <v>2.1800779865296032E-2</v>
      </c>
    </row>
    <row r="173" spans="2:15">
      <c r="B173" s="430" t="s">
        <v>274</v>
      </c>
      <c r="C173" s="431">
        <v>0.35</v>
      </c>
      <c r="D173" s="431">
        <f t="shared" si="52"/>
        <v>0.35</v>
      </c>
      <c r="E173" s="432">
        <f t="shared" si="52"/>
        <v>0.35</v>
      </c>
    </row>
    <row r="175" spans="2:15">
      <c r="F175" s="433"/>
      <c r="G175" s="433"/>
      <c r="H175" s="433"/>
      <c r="I175" s="433"/>
      <c r="J175" s="433"/>
    </row>
    <row r="176" spans="2:15">
      <c r="B176" s="434" t="s">
        <v>412</v>
      </c>
      <c r="C176" s="434" t="s">
        <v>413</v>
      </c>
      <c r="D176" s="434" t="s">
        <v>414</v>
      </c>
      <c r="E176" s="434" t="s">
        <v>415</v>
      </c>
      <c r="F176" s="434" t="s">
        <v>416</v>
      </c>
      <c r="G176" s="434" t="s">
        <v>417</v>
      </c>
      <c r="H176" s="434" t="s">
        <v>418</v>
      </c>
      <c r="I176" s="434" t="s">
        <v>419</v>
      </c>
      <c r="J176" s="434" t="s">
        <v>420</v>
      </c>
      <c r="K176" s="434" t="s">
        <v>421</v>
      </c>
      <c r="L176" s="434" t="s">
        <v>422</v>
      </c>
      <c r="M176" s="434" t="s">
        <v>423</v>
      </c>
      <c r="N176" s="434" t="s">
        <v>424</v>
      </c>
      <c r="O176" s="434" t="s">
        <v>425</v>
      </c>
    </row>
    <row r="177" spans="2:15">
      <c r="B177" s="435">
        <v>44986</v>
      </c>
      <c r="C177" s="436">
        <v>4.17</v>
      </c>
      <c r="D177" s="436">
        <v>4.42</v>
      </c>
      <c r="E177" s="436">
        <v>4.53</v>
      </c>
      <c r="F177" s="436">
        <v>4.7</v>
      </c>
      <c r="G177" s="436">
        <v>4.7699999999999996</v>
      </c>
      <c r="H177" s="436">
        <v>4.72</v>
      </c>
      <c r="I177" s="436">
        <v>4.4000000000000004</v>
      </c>
      <c r="J177" s="436">
        <v>4.18</v>
      </c>
      <c r="K177" s="436">
        <v>3.94</v>
      </c>
      <c r="L177" s="436">
        <v>3.89</v>
      </c>
      <c r="M177" s="436">
        <v>3.79</v>
      </c>
      <c r="N177" s="436">
        <v>4.0599999999999996</v>
      </c>
      <c r="O177" s="436">
        <v>3.88</v>
      </c>
    </row>
    <row r="178" spans="2:15">
      <c r="B178" s="437">
        <v>45017</v>
      </c>
      <c r="C178" s="438">
        <v>4.2</v>
      </c>
      <c r="D178" s="438">
        <v>4.42</v>
      </c>
      <c r="E178" s="438">
        <v>4.55</v>
      </c>
      <c r="F178" s="438">
        <v>4.6900000000000004</v>
      </c>
      <c r="G178" s="438">
        <v>4.7699999999999996</v>
      </c>
      <c r="H178" s="438">
        <v>4.71</v>
      </c>
      <c r="I178" s="438">
        <v>4.3600000000000003</v>
      </c>
      <c r="J178" s="438">
        <v>4.1100000000000003</v>
      </c>
      <c r="K178" s="438">
        <v>3.85</v>
      </c>
      <c r="L178" s="438">
        <v>3.79</v>
      </c>
      <c r="M178" s="438">
        <v>3.69</v>
      </c>
      <c r="N178" s="438">
        <v>3.97</v>
      </c>
      <c r="O178" s="438">
        <v>3.81</v>
      </c>
    </row>
    <row r="179" spans="2:15">
      <c r="B179" s="435">
        <v>45047</v>
      </c>
      <c r="C179" s="436">
        <v>4.3</v>
      </c>
      <c r="D179" s="436">
        <v>4.55</v>
      </c>
      <c r="E179" s="436">
        <v>4.66</v>
      </c>
      <c r="F179" s="436">
        <v>4.75</v>
      </c>
      <c r="G179" s="436">
        <v>4.8099999999999996</v>
      </c>
      <c r="H179" s="436">
        <v>4.78</v>
      </c>
      <c r="I179" s="436">
        <v>4.45</v>
      </c>
      <c r="J179" s="436">
        <v>4.18</v>
      </c>
      <c r="K179" s="436">
        <v>3.9</v>
      </c>
      <c r="L179" s="436">
        <v>3.82</v>
      </c>
      <c r="M179" s="436">
        <v>3.71</v>
      </c>
      <c r="N179" s="436">
        <v>3.96</v>
      </c>
      <c r="O179" s="436">
        <v>3.78</v>
      </c>
    </row>
    <row r="180" spans="2:15">
      <c r="B180" s="437">
        <v>45078</v>
      </c>
      <c r="C180" s="438">
        <v>4.32</v>
      </c>
      <c r="D180" s="438">
        <v>4.55</v>
      </c>
      <c r="E180" s="438">
        <v>4.67</v>
      </c>
      <c r="F180" s="438">
        <v>4.74</v>
      </c>
      <c r="G180" s="438">
        <v>4.79</v>
      </c>
      <c r="H180" s="438">
        <v>4.71</v>
      </c>
      <c r="I180" s="438">
        <v>4.24</v>
      </c>
      <c r="J180" s="438">
        <v>3.96</v>
      </c>
      <c r="K180" s="438">
        <v>3.69</v>
      </c>
      <c r="L180" s="438">
        <v>3.63</v>
      </c>
      <c r="M180" s="438">
        <v>3.55</v>
      </c>
      <c r="N180" s="438">
        <v>3.84</v>
      </c>
      <c r="O180" s="438">
        <v>3.67</v>
      </c>
    </row>
    <row r="181" spans="2:15">
      <c r="B181" s="435">
        <v>45170</v>
      </c>
      <c r="C181" s="436">
        <v>4.37</v>
      </c>
      <c r="D181" s="436">
        <v>4.58</v>
      </c>
      <c r="E181" s="436">
        <v>4.7</v>
      </c>
      <c r="F181" s="436">
        <v>4.74</v>
      </c>
      <c r="G181" s="436">
        <v>4.83</v>
      </c>
      <c r="H181" s="436">
        <v>4.6900000000000004</v>
      </c>
      <c r="I181" s="436">
        <v>4.1900000000000004</v>
      </c>
      <c r="J181" s="436">
        <v>3.93</v>
      </c>
      <c r="K181" s="436">
        <v>3.66</v>
      </c>
      <c r="L181" s="436">
        <v>3.6</v>
      </c>
      <c r="M181" s="436">
        <v>3.53</v>
      </c>
      <c r="N181" s="436">
        <v>3.83</v>
      </c>
      <c r="O181" s="436">
        <v>3.66</v>
      </c>
    </row>
    <row r="182" spans="2:15">
      <c r="B182" s="437">
        <v>45200</v>
      </c>
      <c r="C182" s="438">
        <v>4.41</v>
      </c>
      <c r="D182" s="438">
        <v>4.62</v>
      </c>
      <c r="E182" s="438">
        <v>4.7300000000000004</v>
      </c>
      <c r="F182" s="438">
        <v>4.7699999999999996</v>
      </c>
      <c r="G182" s="438">
        <v>4.8499999999999996</v>
      </c>
      <c r="H182" s="438">
        <v>4.74</v>
      </c>
      <c r="I182" s="438">
        <v>4.24</v>
      </c>
      <c r="J182" s="438">
        <v>3.94</v>
      </c>
      <c r="K182" s="438">
        <v>3.72</v>
      </c>
      <c r="L182" s="438">
        <v>3.67</v>
      </c>
      <c r="M182" s="438">
        <v>3.61</v>
      </c>
      <c r="N182" s="438">
        <v>3.91</v>
      </c>
      <c r="O182" s="438">
        <v>3.74</v>
      </c>
    </row>
    <row r="183" spans="2:15">
      <c r="B183" s="435">
        <v>45231</v>
      </c>
      <c r="C183" s="436">
        <v>4.42</v>
      </c>
      <c r="D183" s="436">
        <v>4.62</v>
      </c>
      <c r="E183" s="436">
        <v>4.72</v>
      </c>
      <c r="F183" s="436">
        <v>4.82</v>
      </c>
      <c r="G183" s="436">
        <v>4.84</v>
      </c>
      <c r="H183" s="436">
        <v>4.7300000000000004</v>
      </c>
      <c r="I183" s="436">
        <v>4.2</v>
      </c>
      <c r="J183" s="436">
        <v>3.9</v>
      </c>
      <c r="K183" s="436">
        <v>3.66</v>
      </c>
      <c r="L183" s="436">
        <v>3.61</v>
      </c>
      <c r="M183" s="436">
        <v>3.54</v>
      </c>
      <c r="N183" s="436">
        <v>3.84</v>
      </c>
      <c r="O183" s="436">
        <v>3.67</v>
      </c>
    </row>
    <row r="184" spans="2:15">
      <c r="B184" s="437">
        <v>45261</v>
      </c>
      <c r="C184" s="438">
        <v>4.57</v>
      </c>
      <c r="D184" s="438">
        <v>4.59</v>
      </c>
      <c r="E184" s="438">
        <v>4.66</v>
      </c>
      <c r="F184" s="438">
        <v>4.74</v>
      </c>
      <c r="G184" s="438">
        <v>4.76</v>
      </c>
      <c r="H184" s="438">
        <v>4.66</v>
      </c>
      <c r="I184" s="438">
        <v>4.12</v>
      </c>
      <c r="J184" s="438">
        <v>3.79</v>
      </c>
      <c r="K184" s="438">
        <v>3.53</v>
      </c>
      <c r="L184" s="438">
        <v>3.48</v>
      </c>
      <c r="M184" s="438">
        <v>3.43</v>
      </c>
      <c r="N184" s="438">
        <v>3.73</v>
      </c>
      <c r="O184" s="438">
        <v>3.56</v>
      </c>
    </row>
    <row r="185" spans="2:15">
      <c r="B185" s="436" t="s">
        <v>426</v>
      </c>
      <c r="C185" s="436">
        <v>4.58</v>
      </c>
      <c r="D185" s="436">
        <v>4.59</v>
      </c>
      <c r="E185" s="436">
        <v>4.67</v>
      </c>
      <c r="F185" s="436">
        <v>4.7300000000000004</v>
      </c>
      <c r="G185" s="436">
        <v>4.7699999999999996</v>
      </c>
      <c r="H185" s="436">
        <v>4.6900000000000004</v>
      </c>
      <c r="I185" s="436">
        <v>4.22</v>
      </c>
      <c r="J185" s="436">
        <v>3.88</v>
      </c>
      <c r="K185" s="436">
        <v>3.6</v>
      </c>
      <c r="L185" s="436">
        <v>3.55</v>
      </c>
      <c r="M185" s="436">
        <v>3.49</v>
      </c>
      <c r="N185" s="436">
        <v>3.79</v>
      </c>
      <c r="O185" s="436">
        <v>3.61</v>
      </c>
    </row>
    <row r="186" spans="2:15">
      <c r="B186" s="438" t="s">
        <v>427</v>
      </c>
      <c r="C186" s="438">
        <v>4.5999999999999996</v>
      </c>
      <c r="D186" s="438">
        <v>4.63</v>
      </c>
      <c r="E186" s="438">
        <v>4.71</v>
      </c>
      <c r="F186" s="438">
        <v>4.74</v>
      </c>
      <c r="G186" s="438">
        <v>4.82</v>
      </c>
      <c r="H186" s="438">
        <v>4.67</v>
      </c>
      <c r="I186" s="438">
        <v>4.18</v>
      </c>
      <c r="J186" s="438">
        <v>3.86</v>
      </c>
      <c r="K186" s="438">
        <v>3.6</v>
      </c>
      <c r="L186" s="438">
        <v>3.57</v>
      </c>
      <c r="M186" s="438">
        <v>3.53</v>
      </c>
      <c r="N186" s="438">
        <v>3.81</v>
      </c>
      <c r="O186" s="438">
        <v>3.64</v>
      </c>
    </row>
    <row r="187" spans="2:15">
      <c r="B187" s="436" t="s">
        <v>428</v>
      </c>
      <c r="C187" s="436">
        <v>4.59</v>
      </c>
      <c r="D187" s="436">
        <v>4.62</v>
      </c>
      <c r="E187" s="436">
        <v>4.6900000000000004</v>
      </c>
      <c r="F187" s="436">
        <v>4.74</v>
      </c>
      <c r="G187" s="436">
        <v>4.79</v>
      </c>
      <c r="H187" s="436">
        <v>4.63</v>
      </c>
      <c r="I187" s="436">
        <v>4.0599999999999996</v>
      </c>
      <c r="J187" s="436">
        <v>3.72</v>
      </c>
      <c r="K187" s="436">
        <v>3.43</v>
      </c>
      <c r="L187" s="436">
        <v>3.4</v>
      </c>
      <c r="M187" s="436">
        <v>3.37</v>
      </c>
      <c r="N187" s="436">
        <v>3.65</v>
      </c>
      <c r="O187" s="436">
        <v>3.54</v>
      </c>
    </row>
    <row r="188" spans="2:15">
      <c r="B188" s="438" t="s">
        <v>429</v>
      </c>
      <c r="C188" s="438">
        <v>4.6900000000000004</v>
      </c>
      <c r="D188" s="438">
        <v>4.66</v>
      </c>
      <c r="E188" s="438">
        <v>4.71</v>
      </c>
      <c r="F188" s="438">
        <v>4.74</v>
      </c>
      <c r="G188" s="438">
        <v>4.79</v>
      </c>
      <c r="H188" s="438">
        <v>4.6500000000000004</v>
      </c>
      <c r="I188" s="438">
        <v>4.09</v>
      </c>
      <c r="J188" s="438">
        <v>3.76</v>
      </c>
      <c r="K188" s="438">
        <v>3.48</v>
      </c>
      <c r="L188" s="438">
        <v>3.43</v>
      </c>
      <c r="M188" s="438">
        <v>3.39</v>
      </c>
      <c r="N188" s="438">
        <v>3.69</v>
      </c>
      <c r="O188" s="438">
        <v>3.57</v>
      </c>
    </row>
    <row r="189" spans="2:15">
      <c r="B189" s="436" t="s">
        <v>430</v>
      </c>
      <c r="C189" s="436">
        <v>4.6900000000000004</v>
      </c>
      <c r="D189" s="436">
        <v>4.6399999999999997</v>
      </c>
      <c r="E189" s="436">
        <v>4.72</v>
      </c>
      <c r="F189" s="436">
        <v>4.75</v>
      </c>
      <c r="G189" s="436">
        <v>4.8</v>
      </c>
      <c r="H189" s="436">
        <v>4.68</v>
      </c>
      <c r="I189" s="436">
        <v>4.1399999999999997</v>
      </c>
      <c r="J189" s="436">
        <v>3.83</v>
      </c>
      <c r="K189" s="436">
        <v>3.56</v>
      </c>
      <c r="L189" s="436">
        <v>3.51</v>
      </c>
      <c r="M189" s="436">
        <v>3.48</v>
      </c>
      <c r="N189" s="436">
        <v>3.77</v>
      </c>
      <c r="O189" s="436">
        <v>3.66</v>
      </c>
    </row>
    <row r="190" spans="2:15">
      <c r="B190" s="438" t="s">
        <v>431</v>
      </c>
      <c r="C190" s="438">
        <v>4.6900000000000004</v>
      </c>
      <c r="D190" s="438">
        <v>4.6500000000000004</v>
      </c>
      <c r="E190" s="438">
        <v>4.7300000000000004</v>
      </c>
      <c r="F190" s="438">
        <v>4.76</v>
      </c>
      <c r="G190" s="438">
        <v>4.82</v>
      </c>
      <c r="H190" s="438">
        <v>4.7</v>
      </c>
      <c r="I190" s="438">
        <v>4.21</v>
      </c>
      <c r="J190" s="438">
        <v>3.88</v>
      </c>
      <c r="K190" s="438">
        <v>3.61</v>
      </c>
      <c r="L190" s="438">
        <v>3.56</v>
      </c>
      <c r="M190" s="438">
        <v>3.52</v>
      </c>
      <c r="N190" s="438">
        <v>3.8</v>
      </c>
      <c r="O190" s="438">
        <v>3.69</v>
      </c>
    </row>
    <row r="191" spans="2:15">
      <c r="B191" s="436" t="s">
        <v>432</v>
      </c>
      <c r="C191" s="436">
        <v>4.7</v>
      </c>
      <c r="D191" s="436">
        <v>4.67</v>
      </c>
      <c r="E191" s="436">
        <v>4.72</v>
      </c>
      <c r="F191" s="436">
        <v>4.75</v>
      </c>
      <c r="G191" s="436">
        <v>4.84</v>
      </c>
      <c r="H191" s="436">
        <v>4.7</v>
      </c>
      <c r="I191" s="436">
        <v>4.12</v>
      </c>
      <c r="J191" s="436">
        <v>3.86</v>
      </c>
      <c r="K191" s="436">
        <v>3.58</v>
      </c>
      <c r="L191" s="436">
        <v>3.52</v>
      </c>
      <c r="M191" s="436">
        <v>3.46</v>
      </c>
      <c r="N191" s="436">
        <v>3.73</v>
      </c>
      <c r="O191" s="436">
        <v>3.62</v>
      </c>
    </row>
    <row r="192" spans="2:15">
      <c r="B192" s="438" t="s">
        <v>433</v>
      </c>
      <c r="C192" s="438">
        <v>4.67</v>
      </c>
      <c r="D192" s="438">
        <v>4.6500000000000004</v>
      </c>
      <c r="E192" s="438">
        <v>4.72</v>
      </c>
      <c r="F192" s="438">
        <v>4.75</v>
      </c>
      <c r="G192" s="438">
        <v>4.79</v>
      </c>
      <c r="H192" s="438">
        <v>4.67</v>
      </c>
      <c r="I192" s="438">
        <v>4.1100000000000003</v>
      </c>
      <c r="J192" s="438">
        <v>3.84</v>
      </c>
      <c r="K192" s="438">
        <v>3.54</v>
      </c>
      <c r="L192" s="438">
        <v>3.51</v>
      </c>
      <c r="M192" s="438">
        <v>3.46</v>
      </c>
      <c r="N192" s="438">
        <v>3.74</v>
      </c>
      <c r="O192" s="438">
        <v>3.62</v>
      </c>
    </row>
    <row r="193" spans="2:15">
      <c r="B193" s="436" t="s">
        <v>434</v>
      </c>
      <c r="C193" s="436">
        <v>4.6100000000000003</v>
      </c>
      <c r="D193" s="436">
        <v>4.6500000000000004</v>
      </c>
      <c r="E193" s="436">
        <v>4.71</v>
      </c>
      <c r="F193" s="436">
        <v>4.76</v>
      </c>
      <c r="G193" s="436">
        <v>4.79</v>
      </c>
      <c r="H193" s="436">
        <v>4.68</v>
      </c>
      <c r="I193" s="436">
        <v>4.17</v>
      </c>
      <c r="J193" s="436">
        <v>3.88</v>
      </c>
      <c r="K193" s="436">
        <v>3.58</v>
      </c>
      <c r="L193" s="436">
        <v>3.54</v>
      </c>
      <c r="M193" s="436">
        <v>3.49</v>
      </c>
      <c r="N193" s="436">
        <v>3.75</v>
      </c>
      <c r="O193" s="436">
        <v>3.62</v>
      </c>
    </row>
    <row r="194" spans="2:15">
      <c r="B194" s="438" t="s">
        <v>435</v>
      </c>
      <c r="C194" s="438">
        <v>4.6100000000000003</v>
      </c>
      <c r="D194" s="438">
        <v>4.6399999999999997</v>
      </c>
      <c r="E194" s="438">
        <v>4.7300000000000004</v>
      </c>
      <c r="F194" s="438">
        <v>4.76</v>
      </c>
      <c r="G194" s="438">
        <v>4.8099999999999996</v>
      </c>
      <c r="H194" s="438">
        <v>4.68</v>
      </c>
      <c r="I194" s="438">
        <v>4.1900000000000004</v>
      </c>
      <c r="J194" s="438">
        <v>3.9</v>
      </c>
      <c r="K194" s="438">
        <v>3.62</v>
      </c>
      <c r="L194" s="438">
        <v>3.58</v>
      </c>
      <c r="M194" s="438">
        <v>3.52</v>
      </c>
      <c r="N194" s="438">
        <v>3.77</v>
      </c>
      <c r="O194" s="438">
        <v>3.64</v>
      </c>
    </row>
    <row r="195" spans="2:15">
      <c r="B195" s="436" t="s">
        <v>436</v>
      </c>
      <c r="C195" s="436">
        <v>4.5999999999999996</v>
      </c>
      <c r="D195" s="436">
        <v>4.6399999999999997</v>
      </c>
      <c r="E195" s="436">
        <v>4.72</v>
      </c>
      <c r="F195" s="436">
        <v>4.76</v>
      </c>
      <c r="G195" s="436">
        <v>4.82</v>
      </c>
      <c r="H195" s="436">
        <v>4.71</v>
      </c>
      <c r="I195" s="436">
        <v>4.25</v>
      </c>
      <c r="J195" s="436">
        <v>3.96</v>
      </c>
      <c r="K195" s="436">
        <v>3.68</v>
      </c>
      <c r="L195" s="436">
        <v>3.62</v>
      </c>
      <c r="M195" s="436">
        <v>3.55</v>
      </c>
      <c r="N195" s="436">
        <v>3.79</v>
      </c>
      <c r="O195" s="436">
        <v>3.66</v>
      </c>
    </row>
    <row r="196" spans="2:15">
      <c r="B196" s="438" t="s">
        <v>437</v>
      </c>
      <c r="C196" s="438">
        <v>4.58</v>
      </c>
      <c r="D196" s="438">
        <v>4.6399999999999997</v>
      </c>
      <c r="E196" s="438">
        <v>4.7</v>
      </c>
      <c r="F196" s="438">
        <v>4.74</v>
      </c>
      <c r="G196" s="438">
        <v>4.8</v>
      </c>
      <c r="H196" s="438">
        <v>4.68</v>
      </c>
      <c r="I196" s="438">
        <v>4.21</v>
      </c>
      <c r="J196" s="438">
        <v>3.9</v>
      </c>
      <c r="K196" s="438">
        <v>3.63</v>
      </c>
      <c r="L196" s="438">
        <v>3.59</v>
      </c>
      <c r="M196" s="438">
        <v>3.52</v>
      </c>
      <c r="N196" s="438">
        <v>3.78</v>
      </c>
      <c r="O196" s="438">
        <v>3.65</v>
      </c>
    </row>
    <row r="197" spans="2:15">
      <c r="B197" s="435">
        <v>44928</v>
      </c>
      <c r="C197" s="436">
        <v>4.59</v>
      </c>
      <c r="D197" s="436">
        <v>4.63</v>
      </c>
      <c r="E197" s="436">
        <v>4.66</v>
      </c>
      <c r="F197" s="436">
        <v>4.7699999999999996</v>
      </c>
      <c r="G197" s="436">
        <v>4.79</v>
      </c>
      <c r="H197" s="436">
        <v>4.66</v>
      </c>
      <c r="I197" s="436">
        <v>4.09</v>
      </c>
      <c r="J197" s="436">
        <v>3.75</v>
      </c>
      <c r="K197" s="436">
        <v>3.48</v>
      </c>
      <c r="L197" s="436">
        <v>3.43</v>
      </c>
      <c r="M197" s="436">
        <v>3.39</v>
      </c>
      <c r="N197" s="436">
        <v>3.67</v>
      </c>
      <c r="O197" s="436">
        <v>3.55</v>
      </c>
    </row>
    <row r="198" spans="2:15">
      <c r="B198" s="437">
        <v>44959</v>
      </c>
      <c r="C198" s="438">
        <v>4.62</v>
      </c>
      <c r="D198" s="438">
        <v>4.6500000000000004</v>
      </c>
      <c r="E198" s="438">
        <v>4.66</v>
      </c>
      <c r="F198" s="438">
        <v>4.75</v>
      </c>
      <c r="G198" s="438">
        <v>4.76</v>
      </c>
      <c r="H198" s="438">
        <v>4.6399999999999997</v>
      </c>
      <c r="I198" s="438">
        <v>4.09</v>
      </c>
      <c r="J198" s="438">
        <v>3.75</v>
      </c>
      <c r="K198" s="438">
        <v>3.49</v>
      </c>
      <c r="L198" s="438">
        <v>3.44</v>
      </c>
      <c r="M198" s="438">
        <v>3.4</v>
      </c>
      <c r="N198" s="438">
        <v>3.67</v>
      </c>
      <c r="O198" s="438">
        <v>3.55</v>
      </c>
    </row>
    <row r="199" spans="2:15">
      <c r="B199" s="435">
        <v>44987</v>
      </c>
      <c r="C199" s="436">
        <v>4.6100000000000003</v>
      </c>
      <c r="D199" s="436">
        <v>4.67</v>
      </c>
      <c r="E199" s="436">
        <v>4.7</v>
      </c>
      <c r="F199" s="436">
        <v>4.8</v>
      </c>
      <c r="G199" s="436">
        <v>4.82</v>
      </c>
      <c r="H199" s="436">
        <v>4.79</v>
      </c>
      <c r="I199" s="436">
        <v>4.3</v>
      </c>
      <c r="J199" s="436">
        <v>3.96</v>
      </c>
      <c r="K199" s="436">
        <v>3.67</v>
      </c>
      <c r="L199" s="436">
        <v>3.61</v>
      </c>
      <c r="M199" s="436">
        <v>3.53</v>
      </c>
      <c r="N199" s="436">
        <v>3.77</v>
      </c>
      <c r="O199" s="436">
        <v>3.63</v>
      </c>
    </row>
    <row r="200" spans="2:15">
      <c r="B200" s="437">
        <v>45079</v>
      </c>
      <c r="C200" s="438">
        <v>4.6100000000000003</v>
      </c>
      <c r="D200" s="438">
        <v>4.67</v>
      </c>
      <c r="E200" s="438">
        <v>4.71</v>
      </c>
      <c r="F200" s="438">
        <v>4.8099999999999996</v>
      </c>
      <c r="G200" s="438">
        <v>4.8899999999999997</v>
      </c>
      <c r="H200" s="438">
        <v>4.8499999999999996</v>
      </c>
      <c r="I200" s="438">
        <v>4.4400000000000004</v>
      </c>
      <c r="J200" s="438">
        <v>4.0999999999999996</v>
      </c>
      <c r="K200" s="438">
        <v>3.81</v>
      </c>
      <c r="L200" s="438">
        <v>3.73</v>
      </c>
      <c r="M200" s="438">
        <v>3.63</v>
      </c>
      <c r="N200" s="438">
        <v>3.82</v>
      </c>
      <c r="O200" s="438">
        <v>3.67</v>
      </c>
    </row>
    <row r="201" spans="2:15">
      <c r="B201" s="435">
        <v>45109</v>
      </c>
      <c r="C201" s="436">
        <v>4.62</v>
      </c>
      <c r="D201" s="436">
        <v>4.68</v>
      </c>
      <c r="E201" s="436">
        <v>4.71</v>
      </c>
      <c r="F201" s="436">
        <v>4.8</v>
      </c>
      <c r="G201" s="436">
        <v>4.8899999999999997</v>
      </c>
      <c r="H201" s="436">
        <v>4.88</v>
      </c>
      <c r="I201" s="436">
        <v>4.47</v>
      </c>
      <c r="J201" s="436">
        <v>4.1100000000000003</v>
      </c>
      <c r="K201" s="436">
        <v>3.85</v>
      </c>
      <c r="L201" s="436">
        <v>3.78</v>
      </c>
      <c r="M201" s="436">
        <v>3.67</v>
      </c>
      <c r="N201" s="436">
        <v>3.87</v>
      </c>
      <c r="O201" s="436">
        <v>3.72</v>
      </c>
    </row>
    <row r="202" spans="2:15">
      <c r="B202" s="437">
        <v>45140</v>
      </c>
      <c r="C202" s="438">
        <v>4.6399999999999997</v>
      </c>
      <c r="D202" s="438">
        <v>4.6900000000000004</v>
      </c>
      <c r="E202" s="438">
        <v>4.72</v>
      </c>
      <c r="F202" s="438">
        <v>4.8499999999999996</v>
      </c>
      <c r="G202" s="438">
        <v>4.88</v>
      </c>
      <c r="H202" s="438">
        <v>4.87</v>
      </c>
      <c r="I202" s="438">
        <v>4.45</v>
      </c>
      <c r="J202" s="438">
        <v>4.08</v>
      </c>
      <c r="K202" s="438">
        <v>3.82</v>
      </c>
      <c r="L202" s="438">
        <v>3.75</v>
      </c>
      <c r="M202" s="438">
        <v>3.63</v>
      </c>
      <c r="N202" s="438">
        <v>3.86</v>
      </c>
      <c r="O202" s="438">
        <v>3.7</v>
      </c>
    </row>
    <row r="203" spans="2:15">
      <c r="B203" s="435">
        <v>45171</v>
      </c>
      <c r="C203" s="436">
        <v>4.66</v>
      </c>
      <c r="D203" s="436">
        <v>4.7699999999999996</v>
      </c>
      <c r="E203" s="436">
        <v>4.7699999999999996</v>
      </c>
      <c r="F203" s="436">
        <v>4.87</v>
      </c>
      <c r="G203" s="436">
        <v>4.9000000000000004</v>
      </c>
      <c r="H203" s="436">
        <v>4.88</v>
      </c>
      <c r="I203" s="436">
        <v>4.4800000000000004</v>
      </c>
      <c r="J203" s="436">
        <v>4.1500000000000004</v>
      </c>
      <c r="K203" s="436">
        <v>3.87</v>
      </c>
      <c r="L203" s="436">
        <v>3.79</v>
      </c>
      <c r="M203" s="436">
        <v>3.67</v>
      </c>
      <c r="N203" s="436">
        <v>3.9</v>
      </c>
      <c r="O203" s="436">
        <v>3.75</v>
      </c>
    </row>
    <row r="204" spans="2:15">
      <c r="B204" s="437">
        <v>45201</v>
      </c>
      <c r="C204" s="438">
        <v>4.66</v>
      </c>
      <c r="D204" s="438">
        <v>4.7699999999999996</v>
      </c>
      <c r="E204" s="438">
        <v>4.79</v>
      </c>
      <c r="F204" s="438">
        <v>4.8899999999999997</v>
      </c>
      <c r="G204" s="438">
        <v>4.8899999999999997</v>
      </c>
      <c r="H204" s="438">
        <v>4.8899999999999997</v>
      </c>
      <c r="I204" s="438">
        <v>4.5</v>
      </c>
      <c r="J204" s="438">
        <v>4.1900000000000004</v>
      </c>
      <c r="K204" s="438">
        <v>3.93</v>
      </c>
      <c r="L204" s="438">
        <v>3.86</v>
      </c>
      <c r="M204" s="438">
        <v>3.74</v>
      </c>
      <c r="N204" s="438">
        <v>3.96</v>
      </c>
      <c r="O204" s="438">
        <v>3.83</v>
      </c>
    </row>
    <row r="205" spans="2:15">
      <c r="B205" s="436" t="s">
        <v>438</v>
      </c>
      <c r="C205" s="436">
        <v>4.66</v>
      </c>
      <c r="D205" s="436">
        <v>4.78</v>
      </c>
      <c r="E205" s="436">
        <v>4.8099999999999996</v>
      </c>
      <c r="F205" s="436">
        <v>4.9000000000000004</v>
      </c>
      <c r="G205" s="436">
        <v>4.99</v>
      </c>
      <c r="H205" s="436">
        <v>4.91</v>
      </c>
      <c r="I205" s="436">
        <v>4.5199999999999996</v>
      </c>
      <c r="J205" s="436">
        <v>4.22</v>
      </c>
      <c r="K205" s="436">
        <v>3.93</v>
      </c>
      <c r="L205" s="436">
        <v>3.84</v>
      </c>
      <c r="M205" s="436">
        <v>3.72</v>
      </c>
      <c r="N205" s="436">
        <v>3.92</v>
      </c>
      <c r="O205" s="436">
        <v>3.79</v>
      </c>
    </row>
    <row r="206" spans="2:15">
      <c r="B206" s="438" t="s">
        <v>439</v>
      </c>
      <c r="C206" s="438">
        <v>4.63</v>
      </c>
      <c r="D206" s="438">
        <v>4.78</v>
      </c>
      <c r="E206" s="438">
        <v>4.8</v>
      </c>
      <c r="F206" s="438">
        <v>4.91</v>
      </c>
      <c r="G206" s="438">
        <v>4.9800000000000004</v>
      </c>
      <c r="H206" s="438">
        <v>4.99</v>
      </c>
      <c r="I206" s="438">
        <v>4.5999999999999996</v>
      </c>
      <c r="J206" s="438">
        <v>4.32</v>
      </c>
      <c r="K206" s="438">
        <v>4</v>
      </c>
      <c r="L206" s="438">
        <v>3.9</v>
      </c>
      <c r="M206" s="438">
        <v>3.77</v>
      </c>
      <c r="N206" s="438">
        <v>3.94</v>
      </c>
      <c r="O206" s="438">
        <v>3.81</v>
      </c>
    </row>
    <row r="207" spans="2:15">
      <c r="B207" s="436" t="s">
        <v>440</v>
      </c>
      <c r="C207" s="436">
        <v>4.6399999999999997</v>
      </c>
      <c r="D207" s="436">
        <v>4.79</v>
      </c>
      <c r="E207" s="436">
        <v>4.79</v>
      </c>
      <c r="F207" s="436">
        <v>4.9400000000000004</v>
      </c>
      <c r="G207" s="436">
        <v>4.97</v>
      </c>
      <c r="H207" s="436">
        <v>4.96</v>
      </c>
      <c r="I207" s="436">
        <v>4.62</v>
      </c>
      <c r="J207" s="436">
        <v>4.3499999999999996</v>
      </c>
      <c r="K207" s="436">
        <v>4.04</v>
      </c>
      <c r="L207" s="436">
        <v>3.94</v>
      </c>
      <c r="M207" s="436">
        <v>3.81</v>
      </c>
      <c r="N207" s="436">
        <v>3.97</v>
      </c>
      <c r="O207" s="436">
        <v>3.85</v>
      </c>
    </row>
    <row r="208" spans="2:15">
      <c r="B208" s="438" t="s">
        <v>441</v>
      </c>
      <c r="C208" s="438">
        <v>4.66</v>
      </c>
      <c r="D208" s="438">
        <v>4.8</v>
      </c>
      <c r="E208" s="438">
        <v>4.84</v>
      </c>
      <c r="F208" s="438">
        <v>4.95</v>
      </c>
      <c r="G208" s="438">
        <v>4.9800000000000004</v>
      </c>
      <c r="H208" s="438">
        <v>4.99</v>
      </c>
      <c r="I208" s="438">
        <v>4.62</v>
      </c>
      <c r="J208" s="438">
        <v>4.3499999999999996</v>
      </c>
      <c r="K208" s="438">
        <v>4.0599999999999996</v>
      </c>
      <c r="L208" s="438">
        <v>3.98</v>
      </c>
      <c r="M208" s="438">
        <v>3.86</v>
      </c>
      <c r="N208" s="438">
        <v>4.05</v>
      </c>
      <c r="O208" s="438">
        <v>3.92</v>
      </c>
    </row>
    <row r="209" spans="2:15">
      <c r="B209" s="436" t="s">
        <v>442</v>
      </c>
      <c r="C209" s="436">
        <v>4.6399999999999997</v>
      </c>
      <c r="D209" s="436">
        <v>4.8099999999999996</v>
      </c>
      <c r="E209" s="436">
        <v>4.84</v>
      </c>
      <c r="F209" s="436">
        <v>4.95</v>
      </c>
      <c r="G209" s="436">
        <v>4.99</v>
      </c>
      <c r="H209" s="436">
        <v>5</v>
      </c>
      <c r="I209" s="436">
        <v>4.5999999999999996</v>
      </c>
      <c r="J209" s="436">
        <v>4.33</v>
      </c>
      <c r="K209" s="436">
        <v>4.03</v>
      </c>
      <c r="L209" s="436">
        <v>3.95</v>
      </c>
      <c r="M209" s="436">
        <v>3.82</v>
      </c>
      <c r="N209" s="436">
        <v>4.01</v>
      </c>
      <c r="O209" s="436">
        <v>3.88</v>
      </c>
    </row>
    <row r="210" spans="2:15">
      <c r="B210" s="438" t="s">
        <v>443</v>
      </c>
      <c r="C210" s="438">
        <v>4.63</v>
      </c>
      <c r="D210" s="438">
        <v>4.83</v>
      </c>
      <c r="E210" s="438">
        <v>4.8600000000000003</v>
      </c>
      <c r="F210" s="438">
        <v>4.9800000000000004</v>
      </c>
      <c r="G210" s="438">
        <v>5.07</v>
      </c>
      <c r="H210" s="438">
        <v>5.07</v>
      </c>
      <c r="I210" s="438">
        <v>4.67</v>
      </c>
      <c r="J210" s="438">
        <v>4.4400000000000004</v>
      </c>
      <c r="K210" s="438">
        <v>4.16</v>
      </c>
      <c r="L210" s="438">
        <v>4.08</v>
      </c>
      <c r="M210" s="438">
        <v>3.95</v>
      </c>
      <c r="N210" s="438">
        <v>4.12</v>
      </c>
      <c r="O210" s="438">
        <v>3.98</v>
      </c>
    </row>
    <row r="211" spans="2:15">
      <c r="B211" s="436" t="s">
        <v>444</v>
      </c>
      <c r="C211" s="436">
        <v>4.62</v>
      </c>
      <c r="D211" s="436">
        <v>4.8099999999999996</v>
      </c>
      <c r="E211" s="436">
        <v>4.84</v>
      </c>
      <c r="F211" s="436">
        <v>5</v>
      </c>
      <c r="G211" s="436">
        <v>5.08</v>
      </c>
      <c r="H211" s="436">
        <v>5.07</v>
      </c>
      <c r="I211" s="436">
        <v>4.66</v>
      </c>
      <c r="J211" s="436">
        <v>4.43</v>
      </c>
      <c r="K211" s="436">
        <v>4.13</v>
      </c>
      <c r="L211" s="436">
        <v>4.07</v>
      </c>
      <c r="M211" s="436">
        <v>3.93</v>
      </c>
      <c r="N211" s="436">
        <v>4.09</v>
      </c>
      <c r="O211" s="436">
        <v>3.94</v>
      </c>
    </row>
    <row r="212" spans="2:15">
      <c r="B212" s="438" t="s">
        <v>445</v>
      </c>
      <c r="C212" s="438">
        <v>4.66</v>
      </c>
      <c r="D212" s="438">
        <v>4.83</v>
      </c>
      <c r="E212" s="438">
        <v>4.84</v>
      </c>
      <c r="F212" s="438">
        <v>5</v>
      </c>
      <c r="G212" s="438">
        <v>5.05</v>
      </c>
      <c r="H212" s="438">
        <v>5.03</v>
      </c>
      <c r="I212" s="438">
        <v>4.66</v>
      </c>
      <c r="J212" s="438">
        <v>4.4000000000000004</v>
      </c>
      <c r="K212" s="438">
        <v>4.09</v>
      </c>
      <c r="L212" s="438">
        <v>4.0199999999999996</v>
      </c>
      <c r="M212" s="438">
        <v>3.88</v>
      </c>
      <c r="N212" s="438">
        <v>4.04</v>
      </c>
      <c r="O212" s="438">
        <v>3.88</v>
      </c>
    </row>
    <row r="213" spans="2:15">
      <c r="B213" s="436" t="s">
        <v>446</v>
      </c>
      <c r="C213" s="436">
        <v>4.68</v>
      </c>
      <c r="D213" s="436">
        <v>4.83</v>
      </c>
      <c r="E213" s="436">
        <v>4.8600000000000003</v>
      </c>
      <c r="F213" s="436">
        <v>5.0199999999999996</v>
      </c>
      <c r="G213" s="436">
        <v>5.0599999999999996</v>
      </c>
      <c r="H213" s="436">
        <v>5.05</v>
      </c>
      <c r="I213" s="436">
        <v>4.78</v>
      </c>
      <c r="J213" s="436">
        <v>4.5199999999999996</v>
      </c>
      <c r="K213" s="436">
        <v>4.1900000000000004</v>
      </c>
      <c r="L213" s="436">
        <v>4.0999999999999996</v>
      </c>
      <c r="M213" s="436">
        <v>3.95</v>
      </c>
      <c r="N213" s="436">
        <v>4.1100000000000003</v>
      </c>
      <c r="O213" s="436">
        <v>3.93</v>
      </c>
    </row>
    <row r="214" spans="2:15">
      <c r="B214" s="438" t="s">
        <v>447</v>
      </c>
      <c r="C214" s="438">
        <v>4.67</v>
      </c>
      <c r="D214" s="438">
        <v>4.83</v>
      </c>
      <c r="E214" s="438">
        <v>4.8899999999999997</v>
      </c>
      <c r="F214" s="438">
        <v>5.0199999999999996</v>
      </c>
      <c r="G214" s="438">
        <v>5.18</v>
      </c>
      <c r="H214" s="438">
        <v>5.03</v>
      </c>
      <c r="I214" s="438">
        <v>4.78</v>
      </c>
      <c r="J214" s="438">
        <v>4.49</v>
      </c>
      <c r="K214" s="438">
        <v>4.17</v>
      </c>
      <c r="L214" s="438">
        <v>4.08</v>
      </c>
      <c r="M214" s="438">
        <v>3.92</v>
      </c>
      <c r="N214" s="438">
        <v>4.1100000000000003</v>
      </c>
      <c r="O214" s="438">
        <v>3.93</v>
      </c>
    </row>
    <row r="215" spans="2:15">
      <c r="B215" s="436" t="s">
        <v>448</v>
      </c>
      <c r="C215" s="436">
        <v>4.6500000000000004</v>
      </c>
      <c r="D215" s="436">
        <v>4.8099999999999996</v>
      </c>
      <c r="E215" s="436">
        <v>4.88</v>
      </c>
      <c r="F215" s="436">
        <v>5</v>
      </c>
      <c r="G215" s="436">
        <v>5.17</v>
      </c>
      <c r="H215" s="436">
        <v>5.0199999999999996</v>
      </c>
      <c r="I215" s="436">
        <v>4.8099999999999996</v>
      </c>
      <c r="J215" s="436">
        <v>4.51</v>
      </c>
      <c r="K215" s="436">
        <v>4.18</v>
      </c>
      <c r="L215" s="436">
        <v>4.07</v>
      </c>
      <c r="M215" s="436">
        <v>3.92</v>
      </c>
      <c r="N215" s="436">
        <v>4.0999999999999996</v>
      </c>
      <c r="O215" s="436">
        <v>3.93</v>
      </c>
    </row>
    <row r="216" spans="2:15">
      <c r="B216" s="437">
        <v>44929</v>
      </c>
      <c r="C216" s="438">
        <v>4.67</v>
      </c>
      <c r="D216" s="438">
        <v>4.82</v>
      </c>
      <c r="E216" s="438">
        <v>4.9000000000000004</v>
      </c>
      <c r="F216" s="438">
        <v>5.0199999999999996</v>
      </c>
      <c r="G216" s="438">
        <v>5.2</v>
      </c>
      <c r="H216" s="438">
        <v>5.0599999999999996</v>
      </c>
      <c r="I216" s="438">
        <v>4.8899999999999997</v>
      </c>
      <c r="J216" s="438">
        <v>4.6100000000000003</v>
      </c>
      <c r="K216" s="438">
        <v>4.2699999999999996</v>
      </c>
      <c r="L216" s="438">
        <v>4.17</v>
      </c>
      <c r="M216" s="438">
        <v>4.01</v>
      </c>
      <c r="N216" s="438">
        <v>4.17</v>
      </c>
      <c r="O216" s="438">
        <v>3.97</v>
      </c>
    </row>
    <row r="217" spans="2:15">
      <c r="B217" s="435">
        <v>44960</v>
      </c>
      <c r="C217" s="436">
        <v>4.75</v>
      </c>
      <c r="D217" s="436">
        <v>4.8</v>
      </c>
      <c r="E217" s="436">
        <v>4.91</v>
      </c>
      <c r="F217" s="436">
        <v>5.0199999999999996</v>
      </c>
      <c r="G217" s="436">
        <v>5.18</v>
      </c>
      <c r="H217" s="436">
        <v>5.04</v>
      </c>
      <c r="I217" s="436">
        <v>4.8899999999999997</v>
      </c>
      <c r="J217" s="436">
        <v>4.63</v>
      </c>
      <c r="K217" s="436">
        <v>4.32</v>
      </c>
      <c r="L217" s="436">
        <v>4.24</v>
      </c>
      <c r="M217" s="436">
        <v>4.08</v>
      </c>
      <c r="N217" s="436">
        <v>4.24</v>
      </c>
      <c r="O217" s="436">
        <v>4.03</v>
      </c>
    </row>
    <row r="218" spans="2:15">
      <c r="B218" s="437">
        <v>44988</v>
      </c>
      <c r="C218" s="438">
        <v>4.75</v>
      </c>
      <c r="D218" s="438">
        <v>4.79</v>
      </c>
      <c r="E218" s="438">
        <v>4.91</v>
      </c>
      <c r="F218" s="438">
        <v>5.01</v>
      </c>
      <c r="G218" s="438">
        <v>5.18</v>
      </c>
      <c r="H218" s="438">
        <v>5.03</v>
      </c>
      <c r="I218" s="438">
        <v>4.8600000000000003</v>
      </c>
      <c r="J218" s="438">
        <v>4.5999999999999996</v>
      </c>
      <c r="K218" s="438">
        <v>4.26</v>
      </c>
      <c r="L218" s="438">
        <v>4.1500000000000004</v>
      </c>
      <c r="M218" s="438">
        <v>3.97</v>
      </c>
      <c r="N218" s="438">
        <v>4.12</v>
      </c>
      <c r="O218" s="438">
        <v>3.9</v>
      </c>
    </row>
    <row r="219" spans="2:15">
      <c r="B219" s="435">
        <v>45080</v>
      </c>
      <c r="C219" s="436">
        <v>4.75</v>
      </c>
      <c r="D219" s="436">
        <v>4.79</v>
      </c>
      <c r="E219" s="436">
        <v>4.93</v>
      </c>
      <c r="F219" s="436">
        <v>5.0199999999999996</v>
      </c>
      <c r="G219" s="436">
        <v>5.22</v>
      </c>
      <c r="H219" s="436">
        <v>5.05</v>
      </c>
      <c r="I219" s="436">
        <v>4.8899999999999997</v>
      </c>
      <c r="J219" s="436">
        <v>4.6100000000000003</v>
      </c>
      <c r="K219" s="436">
        <v>4.2699999999999996</v>
      </c>
      <c r="L219" s="436">
        <v>4.16</v>
      </c>
      <c r="M219" s="436">
        <v>3.98</v>
      </c>
      <c r="N219" s="436">
        <v>4.1399999999999997</v>
      </c>
      <c r="O219" s="436">
        <v>3.92</v>
      </c>
    </row>
    <row r="220" spans="2:15">
      <c r="B220" s="437">
        <v>45110</v>
      </c>
      <c r="C220" s="438">
        <v>4.8</v>
      </c>
      <c r="D220" s="438">
        <v>4.88</v>
      </c>
      <c r="E220" s="438">
        <v>5.04</v>
      </c>
      <c r="F220" s="438">
        <v>5.12</v>
      </c>
      <c r="G220" s="438">
        <v>5.32</v>
      </c>
      <c r="H220" s="438">
        <v>5.22</v>
      </c>
      <c r="I220" s="438">
        <v>5</v>
      </c>
      <c r="J220" s="438">
        <v>4.66</v>
      </c>
      <c r="K220" s="438">
        <v>4.3099999999999996</v>
      </c>
      <c r="L220" s="438">
        <v>4.17</v>
      </c>
      <c r="M220" s="438">
        <v>3.97</v>
      </c>
      <c r="N220" s="438">
        <v>4.1100000000000003</v>
      </c>
      <c r="O220" s="438">
        <v>3.88</v>
      </c>
    </row>
    <row r="221" spans="2:15">
      <c r="B221" s="435">
        <v>45141</v>
      </c>
      <c r="C221" s="436">
        <v>4.7699999999999996</v>
      </c>
      <c r="D221" s="436">
        <v>4.88</v>
      </c>
      <c r="E221" s="436">
        <v>5.0599999999999996</v>
      </c>
      <c r="F221" s="436">
        <v>5.21</v>
      </c>
      <c r="G221" s="436">
        <v>5.34</v>
      </c>
      <c r="H221" s="436">
        <v>5.25</v>
      </c>
      <c r="I221" s="436">
        <v>5.05</v>
      </c>
      <c r="J221" s="436">
        <v>4.71</v>
      </c>
      <c r="K221" s="436">
        <v>4.34</v>
      </c>
      <c r="L221" s="436">
        <v>4.1900000000000004</v>
      </c>
      <c r="M221" s="436">
        <v>3.98</v>
      </c>
      <c r="N221" s="436">
        <v>4.1100000000000003</v>
      </c>
      <c r="O221" s="436">
        <v>3.88</v>
      </c>
    </row>
    <row r="222" spans="2:15">
      <c r="B222" s="437">
        <v>45172</v>
      </c>
      <c r="C222" s="438">
        <v>4.83</v>
      </c>
      <c r="D222" s="438">
        <v>4.96</v>
      </c>
      <c r="E222" s="438">
        <v>5.05</v>
      </c>
      <c r="F222" s="438">
        <v>5.19</v>
      </c>
      <c r="G222" s="438">
        <v>5.32</v>
      </c>
      <c r="H222" s="438">
        <v>5.18</v>
      </c>
      <c r="I222" s="438">
        <v>4.9000000000000004</v>
      </c>
      <c r="J222" s="438">
        <v>4.5599999999999996</v>
      </c>
      <c r="K222" s="438">
        <v>4.22</v>
      </c>
      <c r="L222" s="438">
        <v>4.0999999999999996</v>
      </c>
      <c r="M222" s="438">
        <v>3.93</v>
      </c>
      <c r="N222" s="438">
        <v>4.09</v>
      </c>
      <c r="O222" s="438">
        <v>3.88</v>
      </c>
    </row>
    <row r="223" spans="2:15">
      <c r="B223" s="435">
        <v>45202</v>
      </c>
      <c r="C223" s="436">
        <v>4.8099999999999996</v>
      </c>
      <c r="D223" s="436">
        <v>4.91</v>
      </c>
      <c r="E223" s="436">
        <v>5.01</v>
      </c>
      <c r="F223" s="436">
        <v>5.08</v>
      </c>
      <c r="G223" s="436">
        <v>5.17</v>
      </c>
      <c r="H223" s="436">
        <v>4.9000000000000004</v>
      </c>
      <c r="I223" s="436">
        <v>4.5999999999999996</v>
      </c>
      <c r="J223" s="436">
        <v>4.3099999999999996</v>
      </c>
      <c r="K223" s="436">
        <v>3.96</v>
      </c>
      <c r="L223" s="436">
        <v>3.86</v>
      </c>
      <c r="M223" s="436">
        <v>3.7</v>
      </c>
      <c r="N223" s="436">
        <v>3.9</v>
      </c>
      <c r="O223" s="436">
        <v>3.7</v>
      </c>
    </row>
    <row r="224" spans="2:15">
      <c r="B224" s="438" t="s">
        <v>449</v>
      </c>
      <c r="C224" s="438">
        <v>4.62</v>
      </c>
      <c r="D224" s="438">
        <v>4.8099999999999996</v>
      </c>
      <c r="E224" s="438">
        <v>4.87</v>
      </c>
      <c r="F224" s="438">
        <v>4.87</v>
      </c>
      <c r="G224" s="438">
        <v>4.8099999999999996</v>
      </c>
      <c r="H224" s="438">
        <v>4.3</v>
      </c>
      <c r="I224" s="438">
        <v>4.03</v>
      </c>
      <c r="J224" s="438">
        <v>3.88</v>
      </c>
      <c r="K224" s="438">
        <v>3.68</v>
      </c>
      <c r="L224" s="438">
        <v>3.65</v>
      </c>
      <c r="M224" s="438">
        <v>3.55</v>
      </c>
      <c r="N224" s="438">
        <v>3.85</v>
      </c>
      <c r="O224" s="438">
        <v>3.7</v>
      </c>
    </row>
    <row r="225" spans="2:15">
      <c r="B225" s="436" t="s">
        <v>450</v>
      </c>
      <c r="C225" s="436">
        <v>4.47</v>
      </c>
      <c r="D225" s="436">
        <v>4.7699999999999996</v>
      </c>
      <c r="E225" s="436">
        <v>4.88</v>
      </c>
      <c r="F225" s="436">
        <v>4.95</v>
      </c>
      <c r="G225" s="436">
        <v>4.93</v>
      </c>
      <c r="H225" s="436">
        <v>4.45</v>
      </c>
      <c r="I225" s="436">
        <v>4.2</v>
      </c>
      <c r="J225" s="436">
        <v>4.05</v>
      </c>
      <c r="K225" s="436">
        <v>3.78</v>
      </c>
      <c r="L225" s="436">
        <v>3.74</v>
      </c>
      <c r="M225" s="436">
        <v>3.64</v>
      </c>
      <c r="N225" s="436">
        <v>3.91</v>
      </c>
      <c r="O225" s="436">
        <v>3.77</v>
      </c>
    </row>
    <row r="226" spans="2:15">
      <c r="B226" s="438" t="s">
        <v>451</v>
      </c>
      <c r="C226" s="438">
        <v>4.2300000000000004</v>
      </c>
      <c r="D226" s="438">
        <v>4.5599999999999996</v>
      </c>
      <c r="E226" s="438">
        <v>4.75</v>
      </c>
      <c r="F226" s="438">
        <v>4.8499999999999996</v>
      </c>
      <c r="G226" s="438">
        <v>4.7300000000000004</v>
      </c>
      <c r="H226" s="438">
        <v>4.1900000000000004</v>
      </c>
      <c r="I226" s="438">
        <v>3.93</v>
      </c>
      <c r="J226" s="438">
        <v>3.83</v>
      </c>
      <c r="K226" s="438">
        <v>3.59</v>
      </c>
      <c r="L226" s="438">
        <v>3.57</v>
      </c>
      <c r="M226" s="438">
        <v>3.51</v>
      </c>
      <c r="N226" s="438">
        <v>3.82</v>
      </c>
      <c r="O226" s="438">
        <v>3.7</v>
      </c>
    </row>
    <row r="227" spans="2:15">
      <c r="B227" s="436" t="s">
        <v>452</v>
      </c>
      <c r="C227" s="436">
        <v>4.22</v>
      </c>
      <c r="D227" s="436">
        <v>4.66</v>
      </c>
      <c r="E227" s="436">
        <v>4.74</v>
      </c>
      <c r="F227" s="436">
        <v>4.92</v>
      </c>
      <c r="G227" s="436">
        <v>4.9400000000000004</v>
      </c>
      <c r="H227" s="436">
        <v>4.49</v>
      </c>
      <c r="I227" s="436">
        <v>4.1399999999999997</v>
      </c>
      <c r="J227" s="436">
        <v>3.99</v>
      </c>
      <c r="K227" s="436">
        <v>3.72</v>
      </c>
      <c r="L227" s="436">
        <v>3.67</v>
      </c>
      <c r="M227" s="436">
        <v>3.56</v>
      </c>
      <c r="N227" s="436">
        <v>3.87</v>
      </c>
      <c r="O227" s="436">
        <v>3.71</v>
      </c>
    </row>
    <row r="228" spans="2:15">
      <c r="B228" s="438" t="s">
        <v>453</v>
      </c>
      <c r="C228" s="438">
        <v>4.3099999999999996</v>
      </c>
      <c r="D228" s="438">
        <v>4.51</v>
      </c>
      <c r="E228" s="438">
        <v>4.5199999999999996</v>
      </c>
      <c r="F228" s="438">
        <v>4.79</v>
      </c>
      <c r="G228" s="438">
        <v>4.71</v>
      </c>
      <c r="H228" s="438">
        <v>4.26</v>
      </c>
      <c r="I228" s="438">
        <v>3.81</v>
      </c>
      <c r="J228" s="438">
        <v>3.68</v>
      </c>
      <c r="K228" s="438">
        <v>3.44</v>
      </c>
      <c r="L228" s="438">
        <v>3.45</v>
      </c>
      <c r="M228" s="438">
        <v>3.39</v>
      </c>
      <c r="N228" s="438">
        <v>3.76</v>
      </c>
      <c r="O228" s="438">
        <v>3.6</v>
      </c>
    </row>
    <row r="229" spans="2:15">
      <c r="B229" s="436" t="s">
        <v>454</v>
      </c>
      <c r="C229" s="436">
        <v>4.34</v>
      </c>
      <c r="D229" s="436">
        <v>4.5599999999999996</v>
      </c>
      <c r="E229" s="436">
        <v>4.8099999999999996</v>
      </c>
      <c r="F229" s="436">
        <v>4.84</v>
      </c>
      <c r="G229" s="436">
        <v>4.8</v>
      </c>
      <c r="H229" s="436">
        <v>4.34</v>
      </c>
      <c r="I229" s="436">
        <v>3.92</v>
      </c>
      <c r="J229" s="436">
        <v>3.77</v>
      </c>
      <c r="K229" s="436">
        <v>3.56</v>
      </c>
      <c r="L229" s="436">
        <v>3.55</v>
      </c>
      <c r="M229" s="436">
        <v>3.47</v>
      </c>
      <c r="N229" s="436">
        <v>3.83</v>
      </c>
      <c r="O229" s="436">
        <v>3.65</v>
      </c>
    </row>
    <row r="230" spans="2:15">
      <c r="B230" s="438" t="s">
        <v>455</v>
      </c>
      <c r="C230" s="438">
        <v>4.07</v>
      </c>
      <c r="D230" s="438">
        <v>4.5</v>
      </c>
      <c r="E230" s="438">
        <v>4.78</v>
      </c>
      <c r="F230" s="438">
        <v>4.8899999999999997</v>
      </c>
      <c r="G230" s="438">
        <v>4.96</v>
      </c>
      <c r="H230" s="438">
        <v>4.68</v>
      </c>
      <c r="I230" s="438">
        <v>4.17</v>
      </c>
      <c r="J230" s="438">
        <v>3.98</v>
      </c>
      <c r="K230" s="438">
        <v>3.73</v>
      </c>
      <c r="L230" s="438">
        <v>3.68</v>
      </c>
      <c r="M230" s="438">
        <v>3.59</v>
      </c>
      <c r="N230" s="438">
        <v>3.9</v>
      </c>
      <c r="O230" s="438">
        <v>3.73</v>
      </c>
    </row>
    <row r="231" spans="2:15">
      <c r="B231" s="436" t="s">
        <v>456</v>
      </c>
      <c r="C231" s="436">
        <v>4.16</v>
      </c>
      <c r="D231" s="436">
        <v>4.5599999999999996</v>
      </c>
      <c r="E231" s="436">
        <v>4.79</v>
      </c>
      <c r="F231" s="436">
        <v>4.91</v>
      </c>
      <c r="G231" s="436">
        <v>4.95</v>
      </c>
      <c r="H231" s="436">
        <v>4.5599999999999996</v>
      </c>
      <c r="I231" s="436">
        <v>3.96</v>
      </c>
      <c r="J231" s="436">
        <v>3.76</v>
      </c>
      <c r="K231" s="436">
        <v>3.54</v>
      </c>
      <c r="L231" s="436">
        <v>3.53</v>
      </c>
      <c r="M231" s="436">
        <v>3.48</v>
      </c>
      <c r="N231" s="436">
        <v>3.83</v>
      </c>
      <c r="O231" s="436">
        <v>3.68</v>
      </c>
    </row>
    <row r="232" spans="2:15">
      <c r="B232" s="438" t="s">
        <v>457</v>
      </c>
      <c r="C232" s="438">
        <v>4.26</v>
      </c>
      <c r="D232" s="438">
        <v>4.4800000000000004</v>
      </c>
      <c r="E232" s="438">
        <v>4.7300000000000004</v>
      </c>
      <c r="F232" s="438">
        <v>4.84</v>
      </c>
      <c r="G232" s="438">
        <v>4.8</v>
      </c>
      <c r="H232" s="438">
        <v>4.38</v>
      </c>
      <c r="I232" s="438">
        <v>3.76</v>
      </c>
      <c r="J232" s="438">
        <v>3.57</v>
      </c>
      <c r="K232" s="438">
        <v>3.39</v>
      </c>
      <c r="L232" s="438">
        <v>3.39</v>
      </c>
      <c r="M232" s="438">
        <v>3.38</v>
      </c>
      <c r="N232" s="438">
        <v>3.78</v>
      </c>
      <c r="O232" s="438">
        <v>3.66</v>
      </c>
    </row>
    <row r="233" spans="2:15">
      <c r="B233" s="436" t="s">
        <v>458</v>
      </c>
      <c r="C233" s="436">
        <v>4.28</v>
      </c>
      <c r="D233" s="436">
        <v>4.4800000000000004</v>
      </c>
      <c r="E233" s="436">
        <v>4.74</v>
      </c>
      <c r="F233" s="436">
        <v>4.78</v>
      </c>
      <c r="G233" s="436">
        <v>4.76</v>
      </c>
      <c r="H233" s="436">
        <v>4.32</v>
      </c>
      <c r="I233" s="436">
        <v>3.76</v>
      </c>
      <c r="J233" s="436">
        <v>3.58</v>
      </c>
      <c r="K233" s="436">
        <v>3.41</v>
      </c>
      <c r="L233" s="436">
        <v>3.4</v>
      </c>
      <c r="M233" s="436">
        <v>3.38</v>
      </c>
      <c r="N233" s="436">
        <v>3.77</v>
      </c>
      <c r="O233" s="436">
        <v>3.64</v>
      </c>
    </row>
    <row r="234" spans="2:15">
      <c r="B234" s="438" t="s">
        <v>459</v>
      </c>
      <c r="C234" s="438">
        <v>4.22</v>
      </c>
      <c r="D234" s="438">
        <v>4.47</v>
      </c>
      <c r="E234" s="438">
        <v>4.91</v>
      </c>
      <c r="F234" s="438">
        <v>4.9000000000000004</v>
      </c>
      <c r="G234" s="438">
        <v>4.8600000000000003</v>
      </c>
      <c r="H234" s="438">
        <v>4.51</v>
      </c>
      <c r="I234" s="438">
        <v>3.94</v>
      </c>
      <c r="J234" s="438">
        <v>3.79</v>
      </c>
      <c r="K234" s="438">
        <v>3.59</v>
      </c>
      <c r="L234" s="438">
        <v>3.57</v>
      </c>
      <c r="M234" s="438">
        <v>3.53</v>
      </c>
      <c r="N234" s="438">
        <v>3.9</v>
      </c>
      <c r="O234" s="438">
        <v>3.77</v>
      </c>
    </row>
    <row r="235" spans="2:15">
      <c r="B235" s="436" t="s">
        <v>460</v>
      </c>
      <c r="C235" s="436">
        <v>4.24</v>
      </c>
      <c r="D235" s="436">
        <v>4.3899999999999997</v>
      </c>
      <c r="E235" s="436">
        <v>4.8</v>
      </c>
      <c r="F235" s="436">
        <v>4.8600000000000003</v>
      </c>
      <c r="G235" s="436">
        <v>4.9000000000000004</v>
      </c>
      <c r="H235" s="436">
        <v>4.55</v>
      </c>
      <c r="I235" s="436">
        <v>4.0199999999999996</v>
      </c>
      <c r="J235" s="436">
        <v>3.84</v>
      </c>
      <c r="K235" s="436">
        <v>3.63</v>
      </c>
      <c r="L235" s="436">
        <v>3.6</v>
      </c>
      <c r="M235" s="436">
        <v>3.55</v>
      </c>
      <c r="N235" s="436">
        <v>3.9</v>
      </c>
      <c r="O235" s="436">
        <v>3.77</v>
      </c>
    </row>
    <row r="236" spans="2:15">
      <c r="B236" s="438" t="s">
        <v>461</v>
      </c>
      <c r="C236" s="438">
        <v>4.34</v>
      </c>
      <c r="D236" s="438">
        <v>4.5</v>
      </c>
      <c r="E236" s="438">
        <v>4.8</v>
      </c>
      <c r="F236" s="438">
        <v>4.91</v>
      </c>
      <c r="G236" s="438">
        <v>4.92</v>
      </c>
      <c r="H236" s="438">
        <v>4.59</v>
      </c>
      <c r="I236" s="438">
        <v>4.08</v>
      </c>
      <c r="J236" s="438">
        <v>3.87</v>
      </c>
      <c r="K236" s="438">
        <v>3.67</v>
      </c>
      <c r="L236" s="438">
        <v>3.62</v>
      </c>
      <c r="M236" s="438">
        <v>3.57</v>
      </c>
      <c r="N236" s="438">
        <v>3.91</v>
      </c>
      <c r="O236" s="438">
        <v>3.78</v>
      </c>
    </row>
    <row r="237" spans="2:15">
      <c r="B237" s="436" t="s">
        <v>462</v>
      </c>
      <c r="C237" s="436">
        <v>4.74</v>
      </c>
      <c r="D237" s="436">
        <v>4.7699999999999996</v>
      </c>
      <c r="E237" s="436">
        <v>4.97</v>
      </c>
      <c r="F237" s="436">
        <v>4.9400000000000004</v>
      </c>
      <c r="G237" s="436">
        <v>4.92</v>
      </c>
      <c r="H237" s="436">
        <v>4.63</v>
      </c>
      <c r="I237" s="436">
        <v>4.0999999999999996</v>
      </c>
      <c r="J237" s="436">
        <v>3.87</v>
      </c>
      <c r="K237" s="436">
        <v>3.66</v>
      </c>
      <c r="L237" s="436">
        <v>3.61</v>
      </c>
      <c r="M237" s="436">
        <v>3.55</v>
      </c>
      <c r="N237" s="436">
        <v>3.88</v>
      </c>
      <c r="O237" s="436">
        <v>3.74</v>
      </c>
    </row>
    <row r="238" spans="2:15">
      <c r="B238" s="438" t="s">
        <v>463</v>
      </c>
      <c r="C238" s="438">
        <v>4.74</v>
      </c>
      <c r="D238" s="438">
        <v>4.79</v>
      </c>
      <c r="E238" s="438">
        <v>4.8499999999999996</v>
      </c>
      <c r="F238" s="438">
        <v>4.97</v>
      </c>
      <c r="G238" s="438">
        <v>4.9400000000000004</v>
      </c>
      <c r="H238" s="438">
        <v>4.6399999999999997</v>
      </c>
      <c r="I238" s="438">
        <v>4.0599999999999996</v>
      </c>
      <c r="J238" s="438">
        <v>3.81</v>
      </c>
      <c r="K238" s="438">
        <v>3.6</v>
      </c>
      <c r="L238" s="438">
        <v>3.55</v>
      </c>
      <c r="M238" s="438">
        <v>3.48</v>
      </c>
      <c r="N238" s="438">
        <v>3.81</v>
      </c>
      <c r="O238" s="438">
        <v>3.67</v>
      </c>
    </row>
    <row r="239" spans="2:15">
      <c r="B239" s="435">
        <v>44989</v>
      </c>
      <c r="C239" s="436">
        <v>4.7</v>
      </c>
      <c r="D239" s="436">
        <v>4.79</v>
      </c>
      <c r="E239" s="436">
        <v>4.9000000000000004</v>
      </c>
      <c r="F239" s="436">
        <v>4.9800000000000004</v>
      </c>
      <c r="G239" s="436">
        <v>4.88</v>
      </c>
      <c r="H239" s="436">
        <v>4.5999999999999996</v>
      </c>
      <c r="I239" s="436">
        <v>3.97</v>
      </c>
      <c r="J239" s="436">
        <v>3.73</v>
      </c>
      <c r="K239" s="436">
        <v>3.52</v>
      </c>
      <c r="L239" s="436">
        <v>3.48</v>
      </c>
      <c r="M239" s="436">
        <v>3.43</v>
      </c>
      <c r="N239" s="436">
        <v>3.78</v>
      </c>
      <c r="O239" s="436">
        <v>3.64</v>
      </c>
    </row>
    <row r="240" spans="2:15">
      <c r="B240" s="437">
        <v>45020</v>
      </c>
      <c r="C240" s="438">
        <v>4.66</v>
      </c>
      <c r="D240" s="438">
        <v>4.8</v>
      </c>
      <c r="E240" s="438">
        <v>4.88</v>
      </c>
      <c r="F240" s="438">
        <v>4.9000000000000004</v>
      </c>
      <c r="G240" s="438">
        <v>4.8</v>
      </c>
      <c r="H240" s="438">
        <v>4.5</v>
      </c>
      <c r="I240" s="438">
        <v>3.84</v>
      </c>
      <c r="J240" s="438">
        <v>3.6</v>
      </c>
      <c r="K240" s="438">
        <v>3.39</v>
      </c>
      <c r="L240" s="438">
        <v>3.38</v>
      </c>
      <c r="M240" s="438">
        <v>3.35</v>
      </c>
      <c r="N240" s="438">
        <v>3.72</v>
      </c>
      <c r="O240" s="438">
        <v>3.6</v>
      </c>
    </row>
    <row r="241" spans="2:15">
      <c r="B241" s="435">
        <v>45050</v>
      </c>
      <c r="C241" s="436">
        <v>4.62</v>
      </c>
      <c r="D241" s="436">
        <v>4.7699999999999996</v>
      </c>
      <c r="E241" s="436">
        <v>4.8600000000000003</v>
      </c>
      <c r="F241" s="436">
        <v>4.9000000000000004</v>
      </c>
      <c r="G241" s="436">
        <v>4.82</v>
      </c>
      <c r="H241" s="436">
        <v>4.43</v>
      </c>
      <c r="I241" s="436">
        <v>3.79</v>
      </c>
      <c r="J241" s="436">
        <v>3.55</v>
      </c>
      <c r="K241" s="436">
        <v>3.36</v>
      </c>
      <c r="L241" s="436">
        <v>3.34</v>
      </c>
      <c r="M241" s="436">
        <v>3.3</v>
      </c>
      <c r="N241" s="436">
        <v>3.67</v>
      </c>
      <c r="O241" s="436">
        <v>3.56</v>
      </c>
    </row>
    <row r="242" spans="2:15">
      <c r="B242" s="437">
        <v>45081</v>
      </c>
      <c r="C242" s="438">
        <v>4.57</v>
      </c>
      <c r="D242" s="438">
        <v>4.8499999999999996</v>
      </c>
      <c r="E242" s="438">
        <v>4.91</v>
      </c>
      <c r="F242" s="438">
        <v>4.9800000000000004</v>
      </c>
      <c r="G242" s="438">
        <v>4.93</v>
      </c>
      <c r="H242" s="438">
        <v>4.51</v>
      </c>
      <c r="I242" s="438">
        <v>3.82</v>
      </c>
      <c r="J242" s="438">
        <v>3.59</v>
      </c>
      <c r="K242" s="438">
        <v>3.37</v>
      </c>
      <c r="L242" s="438">
        <v>3.34</v>
      </c>
      <c r="M242" s="438">
        <v>3.3</v>
      </c>
      <c r="N242" s="438">
        <v>3.66</v>
      </c>
      <c r="O242" s="438">
        <v>3.54</v>
      </c>
    </row>
    <row r="243" spans="2:15">
      <c r="B243" s="435">
        <v>45111</v>
      </c>
      <c r="C243" s="436">
        <v>4.5599999999999996</v>
      </c>
      <c r="D243" s="436">
        <v>4.9000000000000004</v>
      </c>
      <c r="E243" s="436">
        <v>4.95</v>
      </c>
      <c r="F243" s="436">
        <v>5.07</v>
      </c>
      <c r="G243" s="436">
        <v>4.95</v>
      </c>
      <c r="H243" s="436">
        <v>4.6100000000000003</v>
      </c>
      <c r="I243" s="436">
        <v>3.97</v>
      </c>
      <c r="J243" s="436">
        <v>3.72</v>
      </c>
      <c r="K243" s="436">
        <v>3.49</v>
      </c>
      <c r="L243" s="436">
        <v>3.45</v>
      </c>
      <c r="M243" s="436">
        <v>3.39</v>
      </c>
      <c r="N243" s="436">
        <v>3.73</v>
      </c>
      <c r="O243" s="436">
        <v>3.61</v>
      </c>
    </row>
    <row r="244" spans="2:15">
      <c r="B244" s="437">
        <v>45203</v>
      </c>
      <c r="C244" s="438">
        <v>4.53</v>
      </c>
      <c r="D244" s="438">
        <v>4.8899999999999997</v>
      </c>
      <c r="E244" s="438">
        <v>5.08</v>
      </c>
      <c r="F244" s="438">
        <v>5.08</v>
      </c>
      <c r="G244" s="438">
        <v>4.9800000000000004</v>
      </c>
      <c r="H244" s="438">
        <v>4.6500000000000004</v>
      </c>
      <c r="I244" s="438">
        <v>4</v>
      </c>
      <c r="J244" s="438">
        <v>3.75</v>
      </c>
      <c r="K244" s="438">
        <v>3.52</v>
      </c>
      <c r="L244" s="438">
        <v>3.47</v>
      </c>
      <c r="M244" s="438">
        <v>3.41</v>
      </c>
      <c r="N244" s="438">
        <v>3.74</v>
      </c>
      <c r="O244" s="438">
        <v>3.62</v>
      </c>
    </row>
    <row r="245" spans="2:15">
      <c r="B245" s="435">
        <v>45234</v>
      </c>
      <c r="C245" s="436">
        <v>4.2699999999999996</v>
      </c>
      <c r="D245" s="436">
        <v>4.8899999999999997</v>
      </c>
      <c r="E245" s="436">
        <v>5.04</v>
      </c>
      <c r="F245" s="436">
        <v>5.0599999999999996</v>
      </c>
      <c r="G245" s="436">
        <v>4.99</v>
      </c>
      <c r="H245" s="436">
        <v>4.67</v>
      </c>
      <c r="I245" s="436">
        <v>4.03</v>
      </c>
      <c r="J245" s="436">
        <v>3.76</v>
      </c>
      <c r="K245" s="436">
        <v>3.54</v>
      </c>
      <c r="L245" s="436">
        <v>3.48</v>
      </c>
      <c r="M245" s="436">
        <v>3.43</v>
      </c>
      <c r="N245" s="436">
        <v>3.75</v>
      </c>
      <c r="O245" s="436">
        <v>3.62</v>
      </c>
    </row>
    <row r="246" spans="2:15">
      <c r="B246" s="437">
        <v>45264</v>
      </c>
      <c r="C246" s="438">
        <v>4.2699999999999996</v>
      </c>
      <c r="D246" s="438">
        <v>4.8899999999999997</v>
      </c>
      <c r="E246" s="438">
        <v>5.0199999999999996</v>
      </c>
      <c r="F246" s="438">
        <v>5.0999999999999996</v>
      </c>
      <c r="G246" s="438">
        <v>4.9800000000000004</v>
      </c>
      <c r="H246" s="438">
        <v>4.6399999999999997</v>
      </c>
      <c r="I246" s="438">
        <v>3.95</v>
      </c>
      <c r="J246" s="438">
        <v>3.68</v>
      </c>
      <c r="K246" s="438">
        <v>3.46</v>
      </c>
      <c r="L246" s="438">
        <v>3.43</v>
      </c>
      <c r="M246" s="438">
        <v>3.41</v>
      </c>
      <c r="N246" s="438">
        <v>3.75</v>
      </c>
      <c r="O246" s="438">
        <v>3.64</v>
      </c>
    </row>
    <row r="247" spans="2:15">
      <c r="B247" s="436" t="s">
        <v>464</v>
      </c>
      <c r="C247" s="436">
        <v>4.08</v>
      </c>
      <c r="D247" s="436">
        <v>4.96</v>
      </c>
      <c r="E247" s="436">
        <v>5.0999999999999996</v>
      </c>
      <c r="F247" s="436">
        <v>5.0999999999999996</v>
      </c>
      <c r="G247" s="436">
        <v>4.95</v>
      </c>
      <c r="H247" s="436">
        <v>4.66</v>
      </c>
      <c r="I247" s="436">
        <v>3.96</v>
      </c>
      <c r="J247" s="436">
        <v>3.7</v>
      </c>
      <c r="K247" s="436">
        <v>3.51</v>
      </c>
      <c r="L247" s="436">
        <v>3.48</v>
      </c>
      <c r="M247" s="436">
        <v>3.45</v>
      </c>
      <c r="N247" s="436">
        <v>3.8</v>
      </c>
      <c r="O247" s="436">
        <v>3.69</v>
      </c>
    </row>
    <row r="248" spans="2:15">
      <c r="B248" s="438" t="s">
        <v>465</v>
      </c>
      <c r="C248" s="438">
        <v>4.29</v>
      </c>
      <c r="D248" s="438">
        <v>4.9800000000000004</v>
      </c>
      <c r="E248" s="438">
        <v>5.14</v>
      </c>
      <c r="F248" s="438">
        <v>5.16</v>
      </c>
      <c r="G248" s="438">
        <v>5.03</v>
      </c>
      <c r="H248" s="438">
        <v>4.7699999999999996</v>
      </c>
      <c r="I248" s="438">
        <v>4.08</v>
      </c>
      <c r="J248" s="438">
        <v>3.83</v>
      </c>
      <c r="K248" s="438">
        <v>3.6</v>
      </c>
      <c r="L248" s="438">
        <v>3.56</v>
      </c>
      <c r="M248" s="438">
        <v>3.52</v>
      </c>
      <c r="N248" s="438">
        <v>3.85</v>
      </c>
      <c r="O248" s="438">
        <v>3.74</v>
      </c>
    </row>
    <row r="249" spans="2:15">
      <c r="B249" s="436" t="s">
        <v>466</v>
      </c>
      <c r="C249" s="436">
        <v>4.09</v>
      </c>
      <c r="D249" s="436">
        <v>5.04</v>
      </c>
      <c r="E249" s="436">
        <v>5.21</v>
      </c>
      <c r="F249" s="436">
        <v>5.24</v>
      </c>
      <c r="G249" s="436">
        <v>5.07</v>
      </c>
      <c r="H249" s="436">
        <v>4.8</v>
      </c>
      <c r="I249" s="436">
        <v>4.18</v>
      </c>
      <c r="J249" s="436">
        <v>3.92</v>
      </c>
      <c r="K249" s="436">
        <v>3.69</v>
      </c>
      <c r="L249" s="436">
        <v>3.64</v>
      </c>
      <c r="M249" s="436">
        <v>3.6</v>
      </c>
      <c r="N249" s="436">
        <v>3.92</v>
      </c>
      <c r="O249" s="436">
        <v>3.81</v>
      </c>
    </row>
    <row r="250" spans="2:15">
      <c r="B250" s="438" t="s">
        <v>467</v>
      </c>
      <c r="C250" s="438">
        <v>3.89</v>
      </c>
      <c r="D250" s="438">
        <v>5.04</v>
      </c>
      <c r="E250" s="438">
        <v>5.2</v>
      </c>
      <c r="F250" s="438">
        <v>5.19</v>
      </c>
      <c r="G250" s="438">
        <v>5.09</v>
      </c>
      <c r="H250" s="438">
        <v>4.8099999999999996</v>
      </c>
      <c r="I250" s="438">
        <v>4.1900000000000004</v>
      </c>
      <c r="J250" s="438">
        <v>3.92</v>
      </c>
      <c r="K250" s="438">
        <v>3.69</v>
      </c>
      <c r="L250" s="438">
        <v>3.63</v>
      </c>
      <c r="M250" s="438">
        <v>3.58</v>
      </c>
      <c r="N250" s="438">
        <v>3.91</v>
      </c>
      <c r="O250" s="438">
        <v>3.79</v>
      </c>
    </row>
    <row r="251" spans="2:15">
      <c r="B251" s="436" t="s">
        <v>468</v>
      </c>
      <c r="C251" s="436">
        <v>3.95</v>
      </c>
      <c r="D251" s="436">
        <v>5.03</v>
      </c>
      <c r="E251" s="436">
        <v>5.16</v>
      </c>
      <c r="F251" s="436">
        <v>5.22</v>
      </c>
      <c r="G251" s="436">
        <v>5.0999999999999996</v>
      </c>
      <c r="H251" s="436">
        <v>4.84</v>
      </c>
      <c r="I251" s="436">
        <v>4.24</v>
      </c>
      <c r="J251" s="436">
        <v>3.97</v>
      </c>
      <c r="K251" s="436">
        <v>3.71</v>
      </c>
      <c r="L251" s="436">
        <v>3.66</v>
      </c>
      <c r="M251" s="436">
        <v>3.6</v>
      </c>
      <c r="N251" s="436">
        <v>3.9</v>
      </c>
      <c r="O251" s="436">
        <v>3.79</v>
      </c>
    </row>
    <row r="252" spans="2:15">
      <c r="B252" s="438" t="s">
        <v>469</v>
      </c>
      <c r="C252" s="438">
        <v>3.4</v>
      </c>
      <c r="D252" s="438">
        <v>5.04</v>
      </c>
      <c r="E252" s="438">
        <v>5.12</v>
      </c>
      <c r="F252" s="438">
        <v>5.17</v>
      </c>
      <c r="G252" s="438">
        <v>5.0599999999999996</v>
      </c>
      <c r="H252" s="438">
        <v>4.7699999999999996</v>
      </c>
      <c r="I252" s="438">
        <v>4.1399999999999997</v>
      </c>
      <c r="J252" s="438">
        <v>3.87</v>
      </c>
      <c r="K252" s="438">
        <v>3.63</v>
      </c>
      <c r="L252" s="438">
        <v>3.59</v>
      </c>
      <c r="M252" s="438">
        <v>3.54</v>
      </c>
      <c r="N252" s="438">
        <v>3.87</v>
      </c>
      <c r="O252" s="438">
        <v>3.75</v>
      </c>
    </row>
    <row r="253" spans="2:15">
      <c r="B253" s="436" t="s">
        <v>470</v>
      </c>
      <c r="C253" s="436">
        <v>3.36</v>
      </c>
      <c r="D253" s="436">
        <v>4.9800000000000004</v>
      </c>
      <c r="E253" s="436">
        <v>5.14</v>
      </c>
      <c r="F253" s="436">
        <v>5.19</v>
      </c>
      <c r="G253" s="436">
        <v>5.07</v>
      </c>
      <c r="H253" s="436">
        <v>4.78</v>
      </c>
      <c r="I253" s="436">
        <v>4.17</v>
      </c>
      <c r="J253" s="436">
        <v>3.89</v>
      </c>
      <c r="K253" s="436">
        <v>3.66</v>
      </c>
      <c r="L253" s="436">
        <v>3.62</v>
      </c>
      <c r="M253" s="436">
        <v>3.57</v>
      </c>
      <c r="N253" s="436">
        <v>3.9</v>
      </c>
      <c r="O253" s="436">
        <v>3.78</v>
      </c>
    </row>
    <row r="254" spans="2:15">
      <c r="B254" s="438" t="s">
        <v>471</v>
      </c>
      <c r="C254" s="438">
        <v>3.54</v>
      </c>
      <c r="D254" s="438">
        <v>5.09</v>
      </c>
      <c r="E254" s="438">
        <v>5.2</v>
      </c>
      <c r="F254" s="438">
        <v>5.15</v>
      </c>
      <c r="G254" s="438">
        <v>5.0599999999999996</v>
      </c>
      <c r="H254" s="438">
        <v>4.76</v>
      </c>
      <c r="I254" s="438">
        <v>4.12</v>
      </c>
      <c r="J254" s="438">
        <v>3.84</v>
      </c>
      <c r="K254" s="438">
        <v>3.6</v>
      </c>
      <c r="L254" s="438">
        <v>3.56</v>
      </c>
      <c r="M254" s="438">
        <v>3.52</v>
      </c>
      <c r="N254" s="438">
        <v>3.85</v>
      </c>
      <c r="O254" s="438">
        <v>3.73</v>
      </c>
    </row>
    <row r="255" spans="2:15">
      <c r="B255" s="436" t="s">
        <v>472</v>
      </c>
      <c r="C255" s="436">
        <v>4.1100000000000003</v>
      </c>
      <c r="D255" s="436">
        <v>5.05</v>
      </c>
      <c r="E255" s="436">
        <v>5.12</v>
      </c>
      <c r="F255" s="436">
        <v>5.1100000000000003</v>
      </c>
      <c r="G255" s="436">
        <v>4.9800000000000004</v>
      </c>
      <c r="H255" s="436">
        <v>4.5999999999999996</v>
      </c>
      <c r="I255" s="436">
        <v>3.86</v>
      </c>
      <c r="J255" s="436">
        <v>3.62</v>
      </c>
      <c r="K255" s="436">
        <v>3.43</v>
      </c>
      <c r="L255" s="436">
        <v>3.42</v>
      </c>
      <c r="M255" s="436">
        <v>3.4</v>
      </c>
      <c r="N255" s="436">
        <v>3.77</v>
      </c>
      <c r="O255" s="436">
        <v>3.65</v>
      </c>
    </row>
    <row r="256" spans="2:15">
      <c r="B256" s="438" t="s">
        <v>473</v>
      </c>
      <c r="C256" s="438">
        <v>3.91</v>
      </c>
      <c r="D256" s="438">
        <v>5.07</v>
      </c>
      <c r="E256" s="438">
        <v>5.16</v>
      </c>
      <c r="F256" s="438">
        <v>5.17</v>
      </c>
      <c r="G256" s="438">
        <v>5</v>
      </c>
      <c r="H256" s="438">
        <v>4.6399999999999997</v>
      </c>
      <c r="I256" s="438">
        <v>3.9</v>
      </c>
      <c r="J256" s="438">
        <v>3.65</v>
      </c>
      <c r="K256" s="438">
        <v>3.46</v>
      </c>
      <c r="L256" s="438">
        <v>3.45</v>
      </c>
      <c r="M256" s="438">
        <v>3.43</v>
      </c>
      <c r="N256" s="438">
        <v>3.81</v>
      </c>
      <c r="O256" s="438">
        <v>3.7</v>
      </c>
    </row>
    <row r="257" spans="2:15">
      <c r="B257" s="436" t="s">
        <v>474</v>
      </c>
      <c r="C257" s="436">
        <v>4.2699999999999996</v>
      </c>
      <c r="D257" s="436">
        <v>5.13</v>
      </c>
      <c r="E257" s="436">
        <v>5.18</v>
      </c>
      <c r="F257" s="436">
        <v>5.21</v>
      </c>
      <c r="G257" s="436">
        <v>5.05</v>
      </c>
      <c r="H257" s="436">
        <v>4.78</v>
      </c>
      <c r="I257" s="436">
        <v>4.07</v>
      </c>
      <c r="J257" s="436">
        <v>3.82</v>
      </c>
      <c r="K257" s="436">
        <v>3.6</v>
      </c>
      <c r="L257" s="436">
        <v>3.57</v>
      </c>
      <c r="M257" s="436">
        <v>3.53</v>
      </c>
      <c r="N257" s="436">
        <v>3.88</v>
      </c>
      <c r="O257" s="436">
        <v>3.76</v>
      </c>
    </row>
    <row r="258" spans="2:15">
      <c r="B258" s="438" t="s">
        <v>475</v>
      </c>
      <c r="C258" s="438">
        <v>4.3499999999999996</v>
      </c>
      <c r="D258" s="438">
        <v>5.14</v>
      </c>
      <c r="E258" s="438">
        <v>5.0999999999999996</v>
      </c>
      <c r="F258" s="438">
        <v>5.2</v>
      </c>
      <c r="G258" s="438">
        <v>5.0599999999999996</v>
      </c>
      <c r="H258" s="438">
        <v>4.8</v>
      </c>
      <c r="I258" s="438">
        <v>4.04</v>
      </c>
      <c r="J258" s="438">
        <v>3.75</v>
      </c>
      <c r="K258" s="438">
        <v>3.51</v>
      </c>
      <c r="L258" s="438">
        <v>3.49</v>
      </c>
      <c r="M258" s="438">
        <v>3.44</v>
      </c>
      <c r="N258" s="438">
        <v>3.8</v>
      </c>
      <c r="O258" s="438">
        <v>3.67</v>
      </c>
    </row>
    <row r="259" spans="2:15">
      <c r="B259" s="435">
        <v>44931</v>
      </c>
      <c r="C259" s="436">
        <v>4.49</v>
      </c>
      <c r="D259" s="436">
        <v>5.17</v>
      </c>
      <c r="E259" s="436">
        <v>5.27</v>
      </c>
      <c r="F259" s="436">
        <v>5.22</v>
      </c>
      <c r="G259" s="436">
        <v>5.14</v>
      </c>
      <c r="H259" s="436">
        <v>4.8600000000000003</v>
      </c>
      <c r="I259" s="436">
        <v>4.1399999999999997</v>
      </c>
      <c r="J259" s="436">
        <v>3.85</v>
      </c>
      <c r="K259" s="436">
        <v>3.64</v>
      </c>
      <c r="L259" s="436">
        <v>3.62</v>
      </c>
      <c r="M259" s="436">
        <v>3.59</v>
      </c>
      <c r="N259" s="436">
        <v>3.95</v>
      </c>
      <c r="O259" s="436">
        <v>3.84</v>
      </c>
    </row>
    <row r="260" spans="2:15">
      <c r="B260" s="437">
        <v>44962</v>
      </c>
      <c r="C260" s="438">
        <v>4.5599999999999996</v>
      </c>
      <c r="D260" s="438">
        <v>5.33</v>
      </c>
      <c r="E260" s="438">
        <v>5.24</v>
      </c>
      <c r="F260" s="438">
        <v>5.19</v>
      </c>
      <c r="G260" s="438">
        <v>5.0599999999999996</v>
      </c>
      <c r="H260" s="438">
        <v>4.74</v>
      </c>
      <c r="I260" s="438">
        <v>3.97</v>
      </c>
      <c r="J260" s="438">
        <v>3.67</v>
      </c>
      <c r="K260" s="438">
        <v>3.46</v>
      </c>
      <c r="L260" s="438">
        <v>3.44</v>
      </c>
      <c r="M260" s="438">
        <v>3.44</v>
      </c>
      <c r="N260" s="438">
        <v>3.82</v>
      </c>
      <c r="O260" s="438">
        <v>3.72</v>
      </c>
    </row>
    <row r="261" spans="2:15">
      <c r="B261" s="435">
        <v>44990</v>
      </c>
      <c r="C261" s="436">
        <v>4.7</v>
      </c>
      <c r="D261" s="436">
        <v>5.33</v>
      </c>
      <c r="E261" s="436">
        <v>5.26</v>
      </c>
      <c r="F261" s="436">
        <v>5.25</v>
      </c>
      <c r="G261" s="436">
        <v>5.08</v>
      </c>
      <c r="H261" s="436">
        <v>4.7</v>
      </c>
      <c r="I261" s="436">
        <v>3.89</v>
      </c>
      <c r="J261" s="436">
        <v>3.58</v>
      </c>
      <c r="K261" s="436">
        <v>3.37</v>
      </c>
      <c r="L261" s="436">
        <v>3.37</v>
      </c>
      <c r="M261" s="436">
        <v>3.38</v>
      </c>
      <c r="N261" s="436">
        <v>3.79</v>
      </c>
      <c r="O261" s="436">
        <v>3.7</v>
      </c>
    </row>
    <row r="262" spans="2:15">
      <c r="B262" s="437">
        <v>45021</v>
      </c>
      <c r="C262" s="438">
        <v>5.76</v>
      </c>
      <c r="D262" s="438">
        <v>5.24</v>
      </c>
      <c r="E262" s="438">
        <v>5.26</v>
      </c>
      <c r="F262" s="438">
        <v>5.23</v>
      </c>
      <c r="G262" s="438">
        <v>5.04</v>
      </c>
      <c r="H262" s="438">
        <v>4.59</v>
      </c>
      <c r="I262" s="438">
        <v>3.75</v>
      </c>
      <c r="J262" s="438">
        <v>3.47</v>
      </c>
      <c r="K262" s="438">
        <v>3.29</v>
      </c>
      <c r="L262" s="438">
        <v>3.32</v>
      </c>
      <c r="M262" s="438">
        <v>3.37</v>
      </c>
      <c r="N262" s="438">
        <v>3.8</v>
      </c>
      <c r="O262" s="438">
        <v>3.73</v>
      </c>
    </row>
    <row r="263" spans="2:15">
      <c r="B263" s="435">
        <v>45051</v>
      </c>
      <c r="C263" s="436">
        <v>5.59</v>
      </c>
      <c r="D263" s="436">
        <v>5.23</v>
      </c>
      <c r="E263" s="436">
        <v>5.26</v>
      </c>
      <c r="F263" s="436">
        <v>5.26</v>
      </c>
      <c r="G263" s="436">
        <v>5.13</v>
      </c>
      <c r="H263" s="436">
        <v>4.7300000000000004</v>
      </c>
      <c r="I263" s="436">
        <v>3.92</v>
      </c>
      <c r="J263" s="436">
        <v>3.63</v>
      </c>
      <c r="K263" s="436">
        <v>3.41</v>
      </c>
      <c r="L263" s="436">
        <v>3.41</v>
      </c>
      <c r="M263" s="436">
        <v>3.44</v>
      </c>
      <c r="N263" s="436">
        <v>3.85</v>
      </c>
      <c r="O263" s="436">
        <v>3.76</v>
      </c>
    </row>
    <row r="264" spans="2:15">
      <c r="B264" s="437">
        <v>45143</v>
      </c>
      <c r="C264" s="438">
        <v>5.51</v>
      </c>
      <c r="D264" s="438">
        <v>5.17</v>
      </c>
      <c r="E264" s="438">
        <v>5.31</v>
      </c>
      <c r="F264" s="438">
        <v>5.26</v>
      </c>
      <c r="G264" s="438">
        <v>5.14</v>
      </c>
      <c r="H264" s="438">
        <v>4.79</v>
      </c>
      <c r="I264" s="438">
        <v>4</v>
      </c>
      <c r="J264" s="438">
        <v>3.7</v>
      </c>
      <c r="K264" s="438">
        <v>3.49</v>
      </c>
      <c r="L264" s="438">
        <v>3.5</v>
      </c>
      <c r="M264" s="438">
        <v>3.52</v>
      </c>
      <c r="N264" s="438">
        <v>3.92</v>
      </c>
      <c r="O264" s="438">
        <v>3.84</v>
      </c>
    </row>
    <row r="265" spans="2:15">
      <c r="B265" s="435">
        <v>45174</v>
      </c>
      <c r="C265" s="436">
        <v>5.56</v>
      </c>
      <c r="D265" s="436">
        <v>5.16</v>
      </c>
      <c r="E265" s="436">
        <v>5.29</v>
      </c>
      <c r="F265" s="436">
        <v>5.27</v>
      </c>
      <c r="G265" s="436">
        <v>5.18</v>
      </c>
      <c r="H265" s="436">
        <v>4.8099999999999996</v>
      </c>
      <c r="I265" s="436">
        <v>4.01</v>
      </c>
      <c r="J265" s="436">
        <v>3.67</v>
      </c>
      <c r="K265" s="436">
        <v>3.51</v>
      </c>
      <c r="L265" s="436">
        <v>3.51</v>
      </c>
      <c r="M265" s="436">
        <v>3.53</v>
      </c>
      <c r="N265" s="436">
        <v>3.94</v>
      </c>
      <c r="O265" s="436">
        <v>3.85</v>
      </c>
    </row>
    <row r="266" spans="2:15">
      <c r="B266" s="437">
        <v>45204</v>
      </c>
      <c r="C266" s="438">
        <v>5.5</v>
      </c>
      <c r="D266" s="438">
        <v>4.99</v>
      </c>
      <c r="E266" s="438">
        <v>5.24</v>
      </c>
      <c r="F266" s="438">
        <v>5.24</v>
      </c>
      <c r="G266" s="438">
        <v>5.13</v>
      </c>
      <c r="H266" s="438">
        <v>4.7</v>
      </c>
      <c r="I266" s="438">
        <v>3.9</v>
      </c>
      <c r="J266" s="438">
        <v>3.55</v>
      </c>
      <c r="K266" s="438">
        <v>3.37</v>
      </c>
      <c r="L266" s="438">
        <v>3.4</v>
      </c>
      <c r="M266" s="438">
        <v>3.43</v>
      </c>
      <c r="N266" s="438">
        <v>3.88</v>
      </c>
      <c r="O266" s="438">
        <v>3.8</v>
      </c>
    </row>
    <row r="267" spans="2:15">
      <c r="B267" s="435">
        <v>45235</v>
      </c>
      <c r="C267" s="436">
        <v>5.81</v>
      </c>
      <c r="D267" s="436">
        <v>4.82</v>
      </c>
      <c r="E267" s="436">
        <v>5.2</v>
      </c>
      <c r="F267" s="436">
        <v>5.23</v>
      </c>
      <c r="G267" s="436">
        <v>5.14</v>
      </c>
      <c r="H267" s="436">
        <v>4.7</v>
      </c>
      <c r="I267" s="436">
        <v>3.89</v>
      </c>
      <c r="J267" s="436">
        <v>3.56</v>
      </c>
      <c r="K267" s="436">
        <v>3.36</v>
      </c>
      <c r="L267" s="436">
        <v>3.37</v>
      </c>
      <c r="M267" s="436">
        <v>3.39</v>
      </c>
      <c r="N267" s="436">
        <v>3.82</v>
      </c>
      <c r="O267" s="436">
        <v>3.73</v>
      </c>
    </row>
    <row r="268" spans="2:15">
      <c r="B268" s="437">
        <v>45265</v>
      </c>
      <c r="C268" s="438">
        <v>5.79</v>
      </c>
      <c r="D268" s="438">
        <v>4.87</v>
      </c>
      <c r="E268" s="438">
        <v>5.25</v>
      </c>
      <c r="F268" s="438">
        <v>5.27</v>
      </c>
      <c r="G268" s="438">
        <v>5.16</v>
      </c>
      <c r="H268" s="438">
        <v>4.75</v>
      </c>
      <c r="I268" s="438">
        <v>3.98</v>
      </c>
      <c r="J268" s="438">
        <v>3.65</v>
      </c>
      <c r="K268" s="438">
        <v>3.45</v>
      </c>
      <c r="L268" s="438">
        <v>3.45</v>
      </c>
      <c r="M268" s="438">
        <v>3.46</v>
      </c>
      <c r="N268" s="438">
        <v>3.87</v>
      </c>
      <c r="O268" s="438">
        <v>3.78</v>
      </c>
    </row>
    <row r="269" spans="2:15">
      <c r="B269" s="436" t="s">
        <v>476</v>
      </c>
      <c r="C269" s="436">
        <v>5.64</v>
      </c>
      <c r="D269" s="436">
        <v>4.97</v>
      </c>
      <c r="E269" s="436">
        <v>5.21</v>
      </c>
      <c r="F269" s="436">
        <v>5.26</v>
      </c>
      <c r="G269" s="436">
        <v>5.24</v>
      </c>
      <c r="H269" s="436">
        <v>4.7300000000000004</v>
      </c>
      <c r="I269" s="436">
        <v>3.99</v>
      </c>
      <c r="J269" s="436">
        <v>3.67</v>
      </c>
      <c r="K269" s="436">
        <v>3.46</v>
      </c>
      <c r="L269" s="436">
        <v>3.48</v>
      </c>
      <c r="M269" s="436">
        <v>3.5</v>
      </c>
      <c r="N269" s="436">
        <v>3.92</v>
      </c>
      <c r="O269" s="436">
        <v>3.84</v>
      </c>
    </row>
    <row r="270" spans="2:15">
      <c r="B270" s="438" t="s">
        <v>477</v>
      </c>
      <c r="C270" s="438">
        <v>5.58</v>
      </c>
      <c r="D270" s="438">
        <v>4.9800000000000004</v>
      </c>
      <c r="E270" s="438">
        <v>5.23</v>
      </c>
      <c r="F270" s="438">
        <v>5.24</v>
      </c>
      <c r="G270" s="438">
        <v>5.26</v>
      </c>
      <c r="H270" s="438">
        <v>4.88</v>
      </c>
      <c r="I270" s="438">
        <v>4.0599999999999996</v>
      </c>
      <c r="J270" s="438">
        <v>3.74</v>
      </c>
      <c r="K270" s="438">
        <v>3.52</v>
      </c>
      <c r="L270" s="438">
        <v>3.53</v>
      </c>
      <c r="M270" s="438">
        <v>3.54</v>
      </c>
      <c r="N270" s="438">
        <v>3.96</v>
      </c>
      <c r="O270" s="438">
        <v>3.87</v>
      </c>
    </row>
    <row r="271" spans="2:15">
      <c r="B271" s="436" t="s">
        <v>478</v>
      </c>
      <c r="C271" s="436">
        <v>5.5</v>
      </c>
      <c r="D271" s="436">
        <v>5.0599999999999996</v>
      </c>
      <c r="E271" s="436">
        <v>5.26</v>
      </c>
      <c r="F271" s="436">
        <v>5.36</v>
      </c>
      <c r="G271" s="436">
        <v>5.3</v>
      </c>
      <c r="H271" s="436">
        <v>4.92</v>
      </c>
      <c r="I271" s="436">
        <v>4.12</v>
      </c>
      <c r="J271" s="436">
        <v>3.8</v>
      </c>
      <c r="K271" s="436">
        <v>3.58</v>
      </c>
      <c r="L271" s="436">
        <v>3.58</v>
      </c>
      <c r="M271" s="436">
        <v>3.57</v>
      </c>
      <c r="N271" s="436">
        <v>3.96</v>
      </c>
      <c r="O271" s="436">
        <v>3.88</v>
      </c>
    </row>
    <row r="272" spans="2:15">
      <c r="B272" s="438" t="s">
        <v>479</v>
      </c>
      <c r="C272" s="438">
        <v>5.59</v>
      </c>
      <c r="D272" s="438">
        <v>5.22</v>
      </c>
      <c r="E272" s="438">
        <v>5.31</v>
      </c>
      <c r="F272" s="438">
        <v>5.43</v>
      </c>
      <c r="G272" s="438">
        <v>5.38</v>
      </c>
      <c r="H272" s="438">
        <v>5.0199999999999996</v>
      </c>
      <c r="I272" s="438">
        <v>4.24</v>
      </c>
      <c r="J272" s="438">
        <v>3.94</v>
      </c>
      <c r="K272" s="438">
        <v>3.69</v>
      </c>
      <c r="L272" s="438">
        <v>3.67</v>
      </c>
      <c r="M272" s="438">
        <v>3.65</v>
      </c>
      <c r="N272" s="438">
        <v>4.0199999999999996</v>
      </c>
      <c r="O272" s="438">
        <v>3.91</v>
      </c>
    </row>
    <row r="273" spans="2:15">
      <c r="B273" s="436" t="s">
        <v>480</v>
      </c>
      <c r="C273" s="436">
        <v>5.62</v>
      </c>
      <c r="D273" s="436">
        <v>5.27</v>
      </c>
      <c r="E273" s="436">
        <v>5.29</v>
      </c>
      <c r="F273" s="436">
        <v>5.46</v>
      </c>
      <c r="G273" s="436">
        <v>5.36</v>
      </c>
      <c r="H273" s="436">
        <v>5.0199999999999996</v>
      </c>
      <c r="I273" s="436">
        <v>4.28</v>
      </c>
      <c r="J273" s="436">
        <v>3.98</v>
      </c>
      <c r="K273" s="436">
        <v>3.76</v>
      </c>
      <c r="L273" s="436">
        <v>3.74</v>
      </c>
      <c r="M273" s="436">
        <v>3.7</v>
      </c>
      <c r="N273" s="436">
        <v>4.07</v>
      </c>
      <c r="O273" s="436">
        <v>3.95</v>
      </c>
    </row>
    <row r="274" spans="2:15">
      <c r="B274" s="438" t="s">
        <v>481</v>
      </c>
      <c r="C274" s="438">
        <v>5.69</v>
      </c>
      <c r="D274" s="438">
        <v>5.35</v>
      </c>
      <c r="E274" s="438">
        <v>5.4</v>
      </c>
      <c r="F274" s="438">
        <v>5.5</v>
      </c>
      <c r="G274" s="438">
        <v>5.43</v>
      </c>
      <c r="H274" s="438">
        <v>5.07</v>
      </c>
      <c r="I274" s="438">
        <v>4.29</v>
      </c>
      <c r="J274" s="438">
        <v>3.98</v>
      </c>
      <c r="K274" s="438">
        <v>3.77</v>
      </c>
      <c r="L274" s="438">
        <v>3.74</v>
      </c>
      <c r="M274" s="438">
        <v>3.72</v>
      </c>
      <c r="N274" s="438">
        <v>4.09</v>
      </c>
      <c r="O274" s="438">
        <v>3.97</v>
      </c>
    </row>
    <row r="275" spans="2:15">
      <c r="B275" s="436" t="s">
        <v>482</v>
      </c>
      <c r="C275" s="436">
        <v>5.67</v>
      </c>
      <c r="D275" s="436">
        <v>5.26</v>
      </c>
      <c r="E275" s="436">
        <v>5.34</v>
      </c>
      <c r="F275" s="436">
        <v>5.42</v>
      </c>
      <c r="G275" s="436">
        <v>5.39</v>
      </c>
      <c r="H275" s="436">
        <v>5.0599999999999996</v>
      </c>
      <c r="I275" s="436">
        <v>4.26</v>
      </c>
      <c r="J275" s="436">
        <v>3.99</v>
      </c>
      <c r="K275" s="436">
        <v>3.76</v>
      </c>
      <c r="L275" s="436">
        <v>3.73</v>
      </c>
      <c r="M275" s="436">
        <v>3.7</v>
      </c>
      <c r="N275" s="436">
        <v>4.08</v>
      </c>
      <c r="O275" s="436">
        <v>3.96</v>
      </c>
    </row>
    <row r="276" spans="2:15">
      <c r="B276" s="438" t="s">
        <v>483</v>
      </c>
      <c r="C276" s="438">
        <v>5.73</v>
      </c>
      <c r="D276" s="438">
        <v>5.22</v>
      </c>
      <c r="E276" s="438">
        <v>5.37</v>
      </c>
      <c r="F276" s="438">
        <v>5.52</v>
      </c>
      <c r="G276" s="438">
        <v>5.42</v>
      </c>
      <c r="H276" s="438">
        <v>5.12</v>
      </c>
      <c r="I276" s="438">
        <v>4.3099999999999996</v>
      </c>
      <c r="J276" s="438">
        <v>4.04</v>
      </c>
      <c r="K276" s="438">
        <v>3.75</v>
      </c>
      <c r="L276" s="438">
        <v>3.76</v>
      </c>
      <c r="M276" s="438">
        <v>3.73</v>
      </c>
      <c r="N276" s="438">
        <v>4.0999999999999996</v>
      </c>
      <c r="O276" s="438">
        <v>3.97</v>
      </c>
    </row>
    <row r="277" spans="2:15">
      <c r="B277" s="436" t="s">
        <v>484</v>
      </c>
      <c r="C277" s="436">
        <v>5.95</v>
      </c>
      <c r="D277" s="436">
        <v>5.44</v>
      </c>
      <c r="E277" s="436">
        <v>5.38</v>
      </c>
      <c r="F277" s="436">
        <v>5.55</v>
      </c>
      <c r="G277" s="436">
        <v>5.46</v>
      </c>
      <c r="H277" s="436">
        <v>5.24</v>
      </c>
      <c r="I277" s="436">
        <v>4.5</v>
      </c>
      <c r="J277" s="436">
        <v>4.21</v>
      </c>
      <c r="K277" s="436">
        <v>3.9</v>
      </c>
      <c r="L277" s="436">
        <v>3.86</v>
      </c>
      <c r="M277" s="436">
        <v>3.83</v>
      </c>
      <c r="N277" s="436">
        <v>4.16</v>
      </c>
      <c r="O277" s="436">
        <v>4.01</v>
      </c>
    </row>
    <row r="278" spans="2:15">
      <c r="B278" s="438" t="s">
        <v>485</v>
      </c>
      <c r="C278" s="438">
        <v>6.02</v>
      </c>
      <c r="D278" s="438">
        <v>5.47</v>
      </c>
      <c r="E278" s="438">
        <v>5.34</v>
      </c>
      <c r="F278" s="438">
        <v>5.55</v>
      </c>
      <c r="G278" s="438">
        <v>5.44</v>
      </c>
      <c r="H278" s="438">
        <v>5.25</v>
      </c>
      <c r="I278" s="438">
        <v>4.54</v>
      </c>
      <c r="J278" s="438">
        <v>4.2300000000000004</v>
      </c>
      <c r="K278" s="438">
        <v>3.92</v>
      </c>
      <c r="L278" s="438">
        <v>3.86</v>
      </c>
      <c r="M278" s="438">
        <v>3.8</v>
      </c>
      <c r="N278" s="438">
        <v>4.13</v>
      </c>
      <c r="O278" s="438">
        <v>3.96</v>
      </c>
    </row>
    <row r="279" spans="2:15">
      <c r="B279" s="436" t="s">
        <v>486</v>
      </c>
      <c r="C279" s="436">
        <v>5.31</v>
      </c>
      <c r="D279" s="436">
        <v>5.31</v>
      </c>
      <c r="E279" s="436">
        <v>5.55</v>
      </c>
      <c r="F279" s="436">
        <v>5.54</v>
      </c>
      <c r="G279" s="436">
        <v>5.52</v>
      </c>
      <c r="H279" s="436">
        <v>5.22</v>
      </c>
      <c r="I279" s="436">
        <v>4.46</v>
      </c>
      <c r="J279" s="436">
        <v>4.0999999999999996</v>
      </c>
      <c r="K279" s="436">
        <v>3.81</v>
      </c>
      <c r="L279" s="436">
        <v>3.75</v>
      </c>
      <c r="M279" s="436">
        <v>3.69</v>
      </c>
      <c r="N279" s="436">
        <v>4.0599999999999996</v>
      </c>
      <c r="O279" s="436">
        <v>3.9</v>
      </c>
    </row>
    <row r="280" spans="2:15">
      <c r="B280" s="438" t="s">
        <v>487</v>
      </c>
      <c r="C280" s="438">
        <v>5.28</v>
      </c>
      <c r="D280" s="438">
        <v>5.37</v>
      </c>
      <c r="E280" s="438">
        <v>5.52</v>
      </c>
      <c r="F280" s="438">
        <v>5.53</v>
      </c>
      <c r="G280" s="438">
        <v>5.46</v>
      </c>
      <c r="H280" s="438">
        <v>5.18</v>
      </c>
      <c r="I280" s="438">
        <v>4.4000000000000004</v>
      </c>
      <c r="J280" s="438">
        <v>4.04</v>
      </c>
      <c r="K280" s="438">
        <v>3.74</v>
      </c>
      <c r="L280" s="438">
        <v>3.69</v>
      </c>
      <c r="M280" s="438">
        <v>3.64</v>
      </c>
      <c r="N280" s="438">
        <v>4.01</v>
      </c>
      <c r="O280" s="438">
        <v>3.85</v>
      </c>
    </row>
    <row r="281" spans="2:15">
      <c r="B281" s="435">
        <v>44932</v>
      </c>
      <c r="C281" s="436">
        <v>5.3</v>
      </c>
      <c r="D281" s="436">
        <v>5.39</v>
      </c>
      <c r="E281" s="436">
        <v>5.5</v>
      </c>
      <c r="F281" s="436">
        <v>5.5</v>
      </c>
      <c r="G281" s="436">
        <v>5.44</v>
      </c>
      <c r="H281" s="436">
        <v>5.1100000000000003</v>
      </c>
      <c r="I281" s="436">
        <v>4.33</v>
      </c>
      <c r="J281" s="436">
        <v>3.98</v>
      </c>
      <c r="K281" s="436">
        <v>3.7</v>
      </c>
      <c r="L281" s="436">
        <v>3.66</v>
      </c>
      <c r="M281" s="436">
        <v>3.61</v>
      </c>
      <c r="N281" s="436">
        <v>3.98</v>
      </c>
      <c r="O281" s="436">
        <v>3.84</v>
      </c>
    </row>
    <row r="282" spans="2:15">
      <c r="B282" s="437">
        <v>44963</v>
      </c>
      <c r="C282" s="438">
        <v>5.28</v>
      </c>
      <c r="D282" s="438">
        <v>5.39</v>
      </c>
      <c r="E282" s="438">
        <v>5.5</v>
      </c>
      <c r="F282" s="438">
        <v>5.52</v>
      </c>
      <c r="G282" s="438">
        <v>5.5</v>
      </c>
      <c r="H282" s="438">
        <v>5.22</v>
      </c>
      <c r="I282" s="438">
        <v>4.5</v>
      </c>
      <c r="J282" s="438">
        <v>4.13</v>
      </c>
      <c r="K282" s="438">
        <v>3.84</v>
      </c>
      <c r="L282" s="438">
        <v>3.78</v>
      </c>
      <c r="M282" s="438">
        <v>3.69</v>
      </c>
      <c r="N282" s="438">
        <v>4.03</v>
      </c>
      <c r="O282" s="438">
        <v>3.88</v>
      </c>
    </row>
    <row r="283" spans="2:15">
      <c r="B283" s="435">
        <v>45052</v>
      </c>
      <c r="C283" s="436">
        <v>5.25</v>
      </c>
      <c r="D283" s="436">
        <v>5.35</v>
      </c>
      <c r="E283" s="436">
        <v>5.46</v>
      </c>
      <c r="F283" s="436">
        <v>5.47</v>
      </c>
      <c r="G283" s="436">
        <v>5.46</v>
      </c>
      <c r="H283" s="436">
        <v>5.17</v>
      </c>
      <c r="I283" s="436">
        <v>4.46</v>
      </c>
      <c r="J283" s="436">
        <v>4.0999999999999996</v>
      </c>
      <c r="K283" s="436">
        <v>3.82</v>
      </c>
      <c r="L283" s="436">
        <v>3.77</v>
      </c>
      <c r="M283" s="436">
        <v>3.69</v>
      </c>
      <c r="N283" s="436">
        <v>4.03</v>
      </c>
      <c r="O283" s="436">
        <v>3.89</v>
      </c>
    </row>
    <row r="284" spans="2:15">
      <c r="B284" s="437">
        <v>45083</v>
      </c>
      <c r="C284" s="438">
        <v>5.15</v>
      </c>
      <c r="D284" s="438">
        <v>5.26</v>
      </c>
      <c r="E284" s="438">
        <v>5.44</v>
      </c>
      <c r="F284" s="438">
        <v>5.44</v>
      </c>
      <c r="G284" s="438">
        <v>5.44</v>
      </c>
      <c r="H284" s="438">
        <v>5.2</v>
      </c>
      <c r="I284" s="438">
        <v>4.51</v>
      </c>
      <c r="J284" s="438">
        <v>4.1500000000000004</v>
      </c>
      <c r="K284" s="438">
        <v>3.85</v>
      </c>
      <c r="L284" s="438">
        <v>3.78</v>
      </c>
      <c r="M284" s="438">
        <v>3.7</v>
      </c>
      <c r="N284" s="438">
        <v>4.0199999999999996</v>
      </c>
      <c r="O284" s="438">
        <v>3.87</v>
      </c>
    </row>
    <row r="285" spans="2:15">
      <c r="B285" s="435">
        <v>45113</v>
      </c>
      <c r="C285" s="436">
        <v>5.07</v>
      </c>
      <c r="D285" s="436">
        <v>5.26</v>
      </c>
      <c r="E285" s="436">
        <v>5.42</v>
      </c>
      <c r="F285" s="436">
        <v>5.42</v>
      </c>
      <c r="G285" s="436">
        <v>5.43</v>
      </c>
      <c r="H285" s="436">
        <v>5.16</v>
      </c>
      <c r="I285" s="436">
        <v>4.5599999999999996</v>
      </c>
      <c r="J285" s="436">
        <v>4.21</v>
      </c>
      <c r="K285" s="436">
        <v>3.93</v>
      </c>
      <c r="L285" s="436">
        <v>3.88</v>
      </c>
      <c r="M285" s="436">
        <v>3.79</v>
      </c>
      <c r="N285" s="436">
        <v>4.12</v>
      </c>
      <c r="O285" s="436">
        <v>3.95</v>
      </c>
    </row>
    <row r="286" spans="2:15">
      <c r="B286" s="437">
        <v>45144</v>
      </c>
      <c r="C286" s="438">
        <v>5.25</v>
      </c>
      <c r="D286" s="438">
        <v>5.29</v>
      </c>
      <c r="E286" s="438">
        <v>5.38</v>
      </c>
      <c r="F286" s="438">
        <v>5.42</v>
      </c>
      <c r="G286" s="438">
        <v>5.39</v>
      </c>
      <c r="H286" s="438">
        <v>5.12</v>
      </c>
      <c r="I286" s="438">
        <v>4.5199999999999996</v>
      </c>
      <c r="J286" s="438">
        <v>4.17</v>
      </c>
      <c r="K286" s="438">
        <v>3.87</v>
      </c>
      <c r="L286" s="438">
        <v>3.8</v>
      </c>
      <c r="M286" s="438">
        <v>3.73</v>
      </c>
      <c r="N286" s="438">
        <v>4.05</v>
      </c>
      <c r="O286" s="438">
        <v>3.89</v>
      </c>
    </row>
    <row r="287" spans="2:15">
      <c r="B287" s="435">
        <v>45175</v>
      </c>
      <c r="C287" s="436">
        <v>5.25</v>
      </c>
      <c r="D287" s="436">
        <v>5.32</v>
      </c>
      <c r="E287" s="436">
        <v>5.37</v>
      </c>
      <c r="F287" s="436">
        <v>5.45</v>
      </c>
      <c r="G287" s="436">
        <v>5.39</v>
      </c>
      <c r="H287" s="436">
        <v>5.17</v>
      </c>
      <c r="I287" s="436">
        <v>4.59</v>
      </c>
      <c r="J287" s="436">
        <v>4.2300000000000004</v>
      </c>
      <c r="K287" s="436">
        <v>3.92</v>
      </c>
      <c r="L287" s="436">
        <v>3.84</v>
      </c>
      <c r="M287" s="436">
        <v>3.75</v>
      </c>
      <c r="N287" s="436">
        <v>4.05</v>
      </c>
      <c r="O287" s="436">
        <v>3.89</v>
      </c>
    </row>
    <row r="288" spans="2:15">
      <c r="B288" s="437">
        <v>45266</v>
      </c>
      <c r="C288" s="438">
        <v>5.24</v>
      </c>
      <c r="D288" s="438">
        <v>5.31</v>
      </c>
      <c r="E288" s="438">
        <v>5.4</v>
      </c>
      <c r="F288" s="438">
        <v>5.43</v>
      </c>
      <c r="G288" s="438">
        <v>5.38</v>
      </c>
      <c r="H288" s="438">
        <v>5.18</v>
      </c>
      <c r="I288" s="438">
        <v>4.55</v>
      </c>
      <c r="J288" s="438">
        <v>4.16</v>
      </c>
      <c r="K288" s="438">
        <v>3.89</v>
      </c>
      <c r="L288" s="438">
        <v>3.82</v>
      </c>
      <c r="M288" s="438">
        <v>3.73</v>
      </c>
      <c r="N288" s="438">
        <v>4.04</v>
      </c>
      <c r="O288" s="438">
        <v>3.87</v>
      </c>
    </row>
    <row r="289" spans="2:15">
      <c r="B289" s="436" t="s">
        <v>488</v>
      </c>
      <c r="C289" s="436">
        <v>5.19</v>
      </c>
      <c r="D289" s="436">
        <v>5.24</v>
      </c>
      <c r="E289" s="436">
        <v>5.36</v>
      </c>
      <c r="F289" s="436">
        <v>5.37</v>
      </c>
      <c r="G289" s="436">
        <v>5.36</v>
      </c>
      <c r="H289" s="436">
        <v>5.26</v>
      </c>
      <c r="I289" s="436">
        <v>4.67</v>
      </c>
      <c r="J289" s="436">
        <v>4.3</v>
      </c>
      <c r="K289" s="436">
        <v>4.01</v>
      </c>
      <c r="L289" s="436">
        <v>3.94</v>
      </c>
      <c r="M289" s="436">
        <v>3.84</v>
      </c>
      <c r="N289" s="436">
        <v>4.12</v>
      </c>
      <c r="O289" s="436">
        <v>3.94</v>
      </c>
    </row>
    <row r="290" spans="2:15">
      <c r="B290" s="438" t="s">
        <v>489</v>
      </c>
      <c r="C290" s="438">
        <v>5.18</v>
      </c>
      <c r="D290" s="438">
        <v>5.25</v>
      </c>
      <c r="E290" s="438">
        <v>5.36</v>
      </c>
      <c r="F290" s="438">
        <v>5.37</v>
      </c>
      <c r="G290" s="438">
        <v>5.36</v>
      </c>
      <c r="H290" s="438">
        <v>5.27</v>
      </c>
      <c r="I290" s="438">
        <v>4.74</v>
      </c>
      <c r="J290" s="438">
        <v>4.37</v>
      </c>
      <c r="K290" s="438">
        <v>4.0599999999999996</v>
      </c>
      <c r="L290" s="438">
        <v>3.95</v>
      </c>
      <c r="M290" s="438">
        <v>3.83</v>
      </c>
      <c r="N290" s="438">
        <v>4.09</v>
      </c>
      <c r="O290" s="438">
        <v>3.9</v>
      </c>
    </row>
    <row r="291" spans="2:15">
      <c r="B291" s="436" t="s">
        <v>490</v>
      </c>
      <c r="C291" s="436">
        <v>5.18</v>
      </c>
      <c r="D291" s="436">
        <v>5.25</v>
      </c>
      <c r="E291" s="436">
        <v>5.33</v>
      </c>
      <c r="F291" s="436">
        <v>5.37</v>
      </c>
      <c r="G291" s="436">
        <v>5.33</v>
      </c>
      <c r="H291" s="436">
        <v>5.21</v>
      </c>
      <c r="I291" s="436">
        <v>4.62</v>
      </c>
      <c r="J291" s="436">
        <v>4.2300000000000004</v>
      </c>
      <c r="K291" s="436">
        <v>3.91</v>
      </c>
      <c r="L291" s="436">
        <v>3.82</v>
      </c>
      <c r="M291" s="436">
        <v>3.72</v>
      </c>
      <c r="N291" s="436">
        <v>4.0199999999999996</v>
      </c>
      <c r="O291" s="436">
        <v>3.85</v>
      </c>
    </row>
    <row r="292" spans="2:15">
      <c r="B292" s="438" t="s">
        <v>491</v>
      </c>
      <c r="C292" s="438">
        <v>5.18</v>
      </c>
      <c r="D292" s="438">
        <v>5.27</v>
      </c>
      <c r="E292" s="438">
        <v>5.34</v>
      </c>
      <c r="F292" s="438">
        <v>5.38</v>
      </c>
      <c r="G292" s="438">
        <v>5.35</v>
      </c>
      <c r="H292" s="438">
        <v>5.24</v>
      </c>
      <c r="I292" s="438">
        <v>4.7</v>
      </c>
      <c r="J292" s="438">
        <v>4.32</v>
      </c>
      <c r="K292" s="438">
        <v>3.99</v>
      </c>
      <c r="L292" s="438">
        <v>3.88</v>
      </c>
      <c r="M292" s="438">
        <v>3.77</v>
      </c>
      <c r="N292" s="438">
        <v>4.05</v>
      </c>
      <c r="O292" s="438">
        <v>3.86</v>
      </c>
    </row>
    <row r="293" spans="2:15">
      <c r="B293" s="436" t="s">
        <v>492</v>
      </c>
      <c r="C293" s="436">
        <v>5.17</v>
      </c>
      <c r="D293" s="436">
        <v>5.26</v>
      </c>
      <c r="E293" s="436">
        <v>5.39</v>
      </c>
      <c r="F293" s="436">
        <v>5.39</v>
      </c>
      <c r="G293" s="436">
        <v>5.41</v>
      </c>
      <c r="H293" s="436">
        <v>5.24</v>
      </c>
      <c r="I293" s="436">
        <v>4.68</v>
      </c>
      <c r="J293" s="436">
        <v>4.29</v>
      </c>
      <c r="K293" s="436">
        <v>3.96</v>
      </c>
      <c r="L293" s="436">
        <v>3.85</v>
      </c>
      <c r="M293" s="436">
        <v>3.74</v>
      </c>
      <c r="N293" s="436">
        <v>4.01</v>
      </c>
      <c r="O293" s="436">
        <v>3.83</v>
      </c>
    </row>
    <row r="294" spans="2:15">
      <c r="B294" s="438" t="s">
        <v>493</v>
      </c>
      <c r="C294" s="438">
        <v>5.16</v>
      </c>
      <c r="D294" s="438">
        <v>5.27</v>
      </c>
      <c r="E294" s="438">
        <v>5.4</v>
      </c>
      <c r="F294" s="438">
        <v>5.44</v>
      </c>
      <c r="G294" s="438">
        <v>5.41</v>
      </c>
      <c r="H294" s="438">
        <v>5.25</v>
      </c>
      <c r="I294" s="438">
        <v>4.68</v>
      </c>
      <c r="J294" s="438">
        <v>4.29</v>
      </c>
      <c r="K294" s="438">
        <v>3.95</v>
      </c>
      <c r="L294" s="438">
        <v>3.84</v>
      </c>
      <c r="M294" s="438">
        <v>3.72</v>
      </c>
      <c r="N294" s="438">
        <v>3.99</v>
      </c>
      <c r="O294" s="438">
        <v>3.81</v>
      </c>
    </row>
    <row r="295" spans="2:15">
      <c r="B295" s="436" t="s">
        <v>494</v>
      </c>
      <c r="C295" s="436">
        <v>5.18</v>
      </c>
      <c r="D295" s="436">
        <v>5.31</v>
      </c>
      <c r="E295" s="436">
        <v>5.4</v>
      </c>
      <c r="F295" s="436">
        <v>5.44</v>
      </c>
      <c r="G295" s="436">
        <v>5.41</v>
      </c>
      <c r="H295" s="436">
        <v>5.29</v>
      </c>
      <c r="I295" s="436">
        <v>4.7699999999999996</v>
      </c>
      <c r="J295" s="436">
        <v>4.37</v>
      </c>
      <c r="K295" s="436">
        <v>4.03</v>
      </c>
      <c r="L295" s="436">
        <v>3.92</v>
      </c>
      <c r="M295" s="436">
        <v>3.8</v>
      </c>
      <c r="N295" s="436">
        <v>4.0599999999999996</v>
      </c>
      <c r="O295" s="436">
        <v>3.88</v>
      </c>
    </row>
    <row r="296" spans="2:15">
      <c r="B296" s="438" t="s">
        <v>495</v>
      </c>
      <c r="C296" s="438">
        <v>5.17</v>
      </c>
      <c r="D296" s="438">
        <v>5.3</v>
      </c>
      <c r="E296" s="438">
        <v>5.41</v>
      </c>
      <c r="F296" s="438">
        <v>5.44</v>
      </c>
      <c r="G296" s="438">
        <v>5.41</v>
      </c>
      <c r="H296" s="438">
        <v>5.25</v>
      </c>
      <c r="I296" s="438">
        <v>4.71</v>
      </c>
      <c r="J296" s="438">
        <v>4.32</v>
      </c>
      <c r="K296" s="438">
        <v>3.99</v>
      </c>
      <c r="L296" s="438">
        <v>3.88</v>
      </c>
      <c r="M296" s="438">
        <v>3.74</v>
      </c>
      <c r="N296" s="438">
        <v>4.01</v>
      </c>
      <c r="O296" s="438">
        <v>3.82</v>
      </c>
    </row>
    <row r="297" spans="2:15">
      <c r="B297" s="436" t="s">
        <v>496</v>
      </c>
      <c r="C297" s="436">
        <v>5.17</v>
      </c>
      <c r="D297" s="436">
        <v>5.31</v>
      </c>
      <c r="E297" s="436">
        <v>5.5</v>
      </c>
      <c r="F297" s="436">
        <v>5.44</v>
      </c>
      <c r="G297" s="436">
        <v>5.45</v>
      </c>
      <c r="H297" s="436">
        <v>5.27</v>
      </c>
      <c r="I297" s="436">
        <v>4.6500000000000004</v>
      </c>
      <c r="J297" s="436">
        <v>4.3</v>
      </c>
      <c r="K297" s="436">
        <v>3.96</v>
      </c>
      <c r="L297" s="436">
        <v>3.85</v>
      </c>
      <c r="M297" s="436">
        <v>3.72</v>
      </c>
      <c r="N297" s="436">
        <v>4.01</v>
      </c>
      <c r="O297" s="436">
        <v>3.83</v>
      </c>
    </row>
    <row r="298" spans="2:15">
      <c r="B298" s="438" t="s">
        <v>497</v>
      </c>
      <c r="C298" s="438">
        <v>5.17</v>
      </c>
      <c r="D298" s="438">
        <v>5.31</v>
      </c>
      <c r="E298" s="438">
        <v>5.44</v>
      </c>
      <c r="F298" s="438">
        <v>5.44</v>
      </c>
      <c r="G298" s="438">
        <v>5.46</v>
      </c>
      <c r="H298" s="438">
        <v>5.33</v>
      </c>
      <c r="I298" s="438">
        <v>4.74</v>
      </c>
      <c r="J298" s="438">
        <v>4.38</v>
      </c>
      <c r="K298" s="438">
        <v>4.0199999999999996</v>
      </c>
      <c r="L298" s="438">
        <v>3.9</v>
      </c>
      <c r="M298" s="438">
        <v>3.77</v>
      </c>
      <c r="N298" s="438">
        <v>4.03</v>
      </c>
      <c r="O298" s="438">
        <v>3.84</v>
      </c>
    </row>
    <row r="299" spans="2:15">
      <c r="B299" s="436" t="s">
        <v>498</v>
      </c>
      <c r="C299" s="436">
        <v>5.17</v>
      </c>
      <c r="D299" s="436">
        <v>5.32</v>
      </c>
      <c r="E299" s="436">
        <v>5.44</v>
      </c>
      <c r="F299" s="436">
        <v>5.49</v>
      </c>
      <c r="G299" s="436">
        <v>5.47</v>
      </c>
      <c r="H299" s="436">
        <v>5.32</v>
      </c>
      <c r="I299" s="436">
        <v>4.71</v>
      </c>
      <c r="J299" s="436">
        <v>4.32</v>
      </c>
      <c r="K299" s="436">
        <v>3.97</v>
      </c>
      <c r="L299" s="436">
        <v>3.83</v>
      </c>
      <c r="M299" s="436">
        <v>3.71</v>
      </c>
      <c r="N299" s="436">
        <v>4</v>
      </c>
      <c r="O299" s="436">
        <v>3.81</v>
      </c>
    </row>
    <row r="300" spans="2:15">
      <c r="B300" s="438" t="s">
        <v>499</v>
      </c>
      <c r="C300" s="438">
        <v>5.25</v>
      </c>
      <c r="D300" s="438">
        <v>5.4</v>
      </c>
      <c r="E300" s="438">
        <v>5.46</v>
      </c>
      <c r="F300" s="438">
        <v>5.51</v>
      </c>
      <c r="G300" s="438">
        <v>5.5</v>
      </c>
      <c r="H300" s="438">
        <v>5.41</v>
      </c>
      <c r="I300" s="438">
        <v>4.87</v>
      </c>
      <c r="J300" s="438">
        <v>4.49</v>
      </c>
      <c r="K300" s="438">
        <v>4.1399999999999997</v>
      </c>
      <c r="L300" s="438">
        <v>3.99</v>
      </c>
      <c r="M300" s="438">
        <v>3.85</v>
      </c>
      <c r="N300" s="438">
        <v>4.1100000000000003</v>
      </c>
      <c r="O300" s="438">
        <v>3.92</v>
      </c>
    </row>
    <row r="301" spans="2:15">
      <c r="B301" s="436" t="s">
        <v>500</v>
      </c>
      <c r="C301" s="436">
        <v>5.24</v>
      </c>
      <c r="D301" s="436">
        <v>5.39</v>
      </c>
      <c r="E301" s="436">
        <v>5.43</v>
      </c>
      <c r="F301" s="436">
        <v>5.5</v>
      </c>
      <c r="G301" s="436">
        <v>5.47</v>
      </c>
      <c r="H301" s="436">
        <v>5.4</v>
      </c>
      <c r="I301" s="436">
        <v>4.87</v>
      </c>
      <c r="J301" s="436">
        <v>4.49</v>
      </c>
      <c r="K301" s="436">
        <v>4.13</v>
      </c>
      <c r="L301" s="436">
        <v>3.97</v>
      </c>
      <c r="M301" s="436">
        <v>3.81</v>
      </c>
      <c r="N301" s="436">
        <v>4.0599999999999996</v>
      </c>
      <c r="O301" s="436">
        <v>3.85</v>
      </c>
    </row>
    <row r="302" spans="2:15">
      <c r="B302" s="437">
        <v>44992</v>
      </c>
      <c r="C302" s="438">
        <v>5.27</v>
      </c>
      <c r="D302" s="438">
        <v>5.4</v>
      </c>
      <c r="E302" s="438">
        <v>5.44</v>
      </c>
      <c r="F302" s="438">
        <v>5.52</v>
      </c>
      <c r="G302" s="438">
        <v>5.53</v>
      </c>
      <c r="H302" s="438">
        <v>5.43</v>
      </c>
      <c r="I302" s="438">
        <v>4.9400000000000004</v>
      </c>
      <c r="J302" s="438">
        <v>4.5599999999999996</v>
      </c>
      <c r="K302" s="438">
        <v>4.1900000000000004</v>
      </c>
      <c r="L302" s="438">
        <v>4.03</v>
      </c>
      <c r="M302" s="438">
        <v>3.86</v>
      </c>
      <c r="N302" s="438">
        <v>4.08</v>
      </c>
      <c r="O302" s="438">
        <v>3.87</v>
      </c>
    </row>
    <row r="303" spans="2:15">
      <c r="B303" s="435">
        <v>45053</v>
      </c>
      <c r="C303" s="436">
        <v>5.28</v>
      </c>
      <c r="D303" s="436">
        <v>5.38</v>
      </c>
      <c r="E303" s="436">
        <v>5.44</v>
      </c>
      <c r="F303" s="436">
        <v>5.51</v>
      </c>
      <c r="G303" s="436">
        <v>5.52</v>
      </c>
      <c r="H303" s="436">
        <v>5.4</v>
      </c>
      <c r="I303" s="436">
        <v>4.9400000000000004</v>
      </c>
      <c r="J303" s="436">
        <v>4.59</v>
      </c>
      <c r="K303" s="436">
        <v>4.25</v>
      </c>
      <c r="L303" s="436">
        <v>4.1100000000000003</v>
      </c>
      <c r="M303" s="436">
        <v>3.95</v>
      </c>
      <c r="N303" s="436">
        <v>4.17</v>
      </c>
      <c r="O303" s="436">
        <v>3.95</v>
      </c>
    </row>
    <row r="304" spans="2:15">
      <c r="B304" s="437">
        <v>45084</v>
      </c>
      <c r="C304" s="438">
        <v>5.32</v>
      </c>
      <c r="D304" s="438">
        <v>5.47</v>
      </c>
      <c r="E304" s="438">
        <v>5.46</v>
      </c>
      <c r="F304" s="438">
        <v>5.52</v>
      </c>
      <c r="G304" s="438">
        <v>5.54</v>
      </c>
      <c r="H304" s="438">
        <v>5.44</v>
      </c>
      <c r="I304" s="438">
        <v>4.99</v>
      </c>
      <c r="J304" s="438">
        <v>4.68</v>
      </c>
      <c r="K304" s="438">
        <v>4.37</v>
      </c>
      <c r="L304" s="438">
        <v>4.22</v>
      </c>
      <c r="M304" s="438">
        <v>4.05</v>
      </c>
      <c r="N304" s="438">
        <v>4.2300000000000004</v>
      </c>
      <c r="O304" s="438">
        <v>4.01</v>
      </c>
    </row>
    <row r="305" spans="2:15">
      <c r="B305" s="435">
        <v>45114</v>
      </c>
      <c r="C305" s="436">
        <v>5.32</v>
      </c>
      <c r="D305" s="436">
        <v>5.47</v>
      </c>
      <c r="E305" s="436">
        <v>5.46</v>
      </c>
      <c r="F305" s="436">
        <v>5.52</v>
      </c>
      <c r="G305" s="436">
        <v>5.53</v>
      </c>
      <c r="H305" s="436">
        <v>5.41</v>
      </c>
      <c r="I305" s="436">
        <v>4.9400000000000004</v>
      </c>
      <c r="J305" s="436">
        <v>4.6399999999999997</v>
      </c>
      <c r="K305" s="436">
        <v>4.3499999999999996</v>
      </c>
      <c r="L305" s="436">
        <v>4.2300000000000004</v>
      </c>
      <c r="M305" s="436">
        <v>4.0599999999999996</v>
      </c>
      <c r="N305" s="436">
        <v>4.2699999999999996</v>
      </c>
      <c r="O305" s="436">
        <v>4.05</v>
      </c>
    </row>
    <row r="306" spans="2:15">
      <c r="B306" s="437">
        <v>45206</v>
      </c>
      <c r="C306" s="438">
        <v>5.34</v>
      </c>
      <c r="D306" s="438">
        <v>5.47</v>
      </c>
      <c r="E306" s="438">
        <v>5.48</v>
      </c>
      <c r="F306" s="438">
        <v>5.53</v>
      </c>
      <c r="G306" s="438">
        <v>5.54</v>
      </c>
      <c r="H306" s="438">
        <v>5.38</v>
      </c>
      <c r="I306" s="438">
        <v>4.8499999999999996</v>
      </c>
      <c r="J306" s="438">
        <v>4.54</v>
      </c>
      <c r="K306" s="438">
        <v>4.25</v>
      </c>
      <c r="L306" s="438">
        <v>4.1399999999999997</v>
      </c>
      <c r="M306" s="438">
        <v>4.01</v>
      </c>
      <c r="N306" s="438">
        <v>4.24</v>
      </c>
      <c r="O306" s="438">
        <v>4.05</v>
      </c>
    </row>
    <row r="307" spans="2:15">
      <c r="B307" s="435">
        <v>45237</v>
      </c>
      <c r="C307" s="436">
        <v>5.35</v>
      </c>
      <c r="D307" s="436">
        <v>5.48</v>
      </c>
      <c r="E307" s="436">
        <v>5.49</v>
      </c>
      <c r="F307" s="436">
        <v>5.53</v>
      </c>
      <c r="G307" s="436">
        <v>5.55</v>
      </c>
      <c r="H307" s="436">
        <v>5.44</v>
      </c>
      <c r="I307" s="436">
        <v>4.88</v>
      </c>
      <c r="J307" s="436">
        <v>4.5199999999999996</v>
      </c>
      <c r="K307" s="436">
        <v>4.24</v>
      </c>
      <c r="L307" s="436">
        <v>4.13</v>
      </c>
      <c r="M307" s="436">
        <v>3.99</v>
      </c>
      <c r="N307" s="436">
        <v>4.22</v>
      </c>
      <c r="O307" s="436">
        <v>4.03</v>
      </c>
    </row>
    <row r="308" spans="2:15">
      <c r="B308" s="437">
        <v>45267</v>
      </c>
      <c r="C308" s="438">
        <v>5.36</v>
      </c>
      <c r="D308" s="438">
        <v>5.49</v>
      </c>
      <c r="E308" s="438">
        <v>5.47</v>
      </c>
      <c r="F308" s="438">
        <v>5.52</v>
      </c>
      <c r="G308" s="438">
        <v>5.53</v>
      </c>
      <c r="H308" s="438">
        <v>5.35</v>
      </c>
      <c r="I308" s="438">
        <v>4.72</v>
      </c>
      <c r="J308" s="438">
        <v>4.3600000000000003</v>
      </c>
      <c r="K308" s="438">
        <v>4.07</v>
      </c>
      <c r="L308" s="438">
        <v>3.97</v>
      </c>
      <c r="M308" s="438">
        <v>3.86</v>
      </c>
      <c r="N308" s="438">
        <v>4.1399999999999997</v>
      </c>
      <c r="O308" s="438">
        <v>3.96</v>
      </c>
    </row>
    <row r="309" spans="2:15">
      <c r="B309" s="436" t="s">
        <v>501</v>
      </c>
      <c r="C309" s="436">
        <v>5.37</v>
      </c>
      <c r="D309" s="436">
        <v>5.5</v>
      </c>
      <c r="E309" s="436">
        <v>5.47</v>
      </c>
      <c r="F309" s="436">
        <v>5.51</v>
      </c>
      <c r="G309" s="436">
        <v>5.49</v>
      </c>
      <c r="H309" s="436">
        <v>5.27</v>
      </c>
      <c r="I309" s="436">
        <v>4.59</v>
      </c>
      <c r="J309" s="436">
        <v>4.21</v>
      </c>
      <c r="K309" s="436">
        <v>3.93</v>
      </c>
      <c r="L309" s="436">
        <v>3.85</v>
      </c>
      <c r="M309" s="436">
        <v>3.76</v>
      </c>
      <c r="N309" s="436">
        <v>4.07</v>
      </c>
      <c r="O309" s="436">
        <v>3.9</v>
      </c>
    </row>
    <row r="310" spans="2:15">
      <c r="B310" s="438" t="s">
        <v>502</v>
      </c>
      <c r="C310" s="438">
        <v>5.37</v>
      </c>
      <c r="D310" s="438">
        <v>5.49</v>
      </c>
      <c r="E310" s="438">
        <v>5.49</v>
      </c>
      <c r="F310" s="438">
        <v>5.53</v>
      </c>
      <c r="G310" s="438">
        <v>5.52</v>
      </c>
      <c r="H310" s="438">
        <v>5.34</v>
      </c>
      <c r="I310" s="438">
        <v>4.74</v>
      </c>
      <c r="J310" s="438">
        <v>4.3499999999999996</v>
      </c>
      <c r="K310" s="438">
        <v>4.04</v>
      </c>
      <c r="L310" s="438">
        <v>3.94</v>
      </c>
      <c r="M310" s="438">
        <v>3.83</v>
      </c>
      <c r="N310" s="438">
        <v>4.1100000000000003</v>
      </c>
      <c r="O310" s="438">
        <v>3.93</v>
      </c>
    </row>
    <row r="311" spans="2:15">
      <c r="B311" s="436" t="s">
        <v>503</v>
      </c>
      <c r="C311" s="436">
        <v>5.37</v>
      </c>
      <c r="D311" s="436">
        <v>5.51</v>
      </c>
      <c r="E311" s="436">
        <v>5.49</v>
      </c>
      <c r="F311" s="436">
        <v>5.53</v>
      </c>
      <c r="G311" s="436">
        <v>5.52</v>
      </c>
      <c r="H311" s="436">
        <v>5.33</v>
      </c>
      <c r="I311" s="436">
        <v>4.74</v>
      </c>
      <c r="J311" s="436">
        <v>4.34</v>
      </c>
      <c r="K311" s="436">
        <v>4.0199999999999996</v>
      </c>
      <c r="L311" s="436">
        <v>3.91</v>
      </c>
      <c r="M311" s="436">
        <v>3.81</v>
      </c>
      <c r="N311" s="436">
        <v>4.0999999999999996</v>
      </c>
      <c r="O311" s="436">
        <v>3.94</v>
      </c>
    </row>
    <row r="312" spans="2:15">
      <c r="B312" s="438" t="s">
        <v>504</v>
      </c>
      <c r="C312" s="438">
        <v>5.37</v>
      </c>
      <c r="D312" s="438">
        <v>5.5</v>
      </c>
      <c r="E312" s="438">
        <v>5.49</v>
      </c>
      <c r="F312" s="438">
        <v>5.53</v>
      </c>
      <c r="G312" s="438">
        <v>5.51</v>
      </c>
      <c r="H312" s="438">
        <v>5.32</v>
      </c>
      <c r="I312" s="438">
        <v>4.74</v>
      </c>
      <c r="J312" s="438">
        <v>4.3499999999999996</v>
      </c>
      <c r="K312" s="438">
        <v>4</v>
      </c>
      <c r="L312" s="438">
        <v>3.9</v>
      </c>
      <c r="M312" s="438">
        <v>3.8</v>
      </c>
      <c r="N312" s="438">
        <v>4.08</v>
      </c>
      <c r="O312" s="438">
        <v>3.91</v>
      </c>
    </row>
    <row r="313" spans="2:15">
      <c r="B313" s="436" t="s">
        <v>505</v>
      </c>
      <c r="C313" s="436">
        <v>5.37</v>
      </c>
      <c r="D313" s="436">
        <v>5.51</v>
      </c>
      <c r="E313" s="436">
        <v>5.49</v>
      </c>
      <c r="F313" s="436">
        <v>5.54</v>
      </c>
      <c r="G313" s="436">
        <v>5.51</v>
      </c>
      <c r="H313" s="436">
        <v>5.32</v>
      </c>
      <c r="I313" s="436">
        <v>4.74</v>
      </c>
      <c r="J313" s="436">
        <v>4.34</v>
      </c>
      <c r="K313" s="436">
        <v>3.98</v>
      </c>
      <c r="L313" s="436">
        <v>3.87</v>
      </c>
      <c r="M313" s="436">
        <v>3.75</v>
      </c>
      <c r="N313" s="436">
        <v>4.01</v>
      </c>
      <c r="O313" s="436">
        <v>3.84</v>
      </c>
    </row>
    <row r="314" spans="2:15">
      <c r="B314" s="438" t="s">
        <v>506</v>
      </c>
      <c r="C314" s="438">
        <v>5.44</v>
      </c>
      <c r="D314" s="438">
        <v>5.53</v>
      </c>
      <c r="E314" s="438">
        <v>5.49</v>
      </c>
      <c r="F314" s="438">
        <v>5.54</v>
      </c>
      <c r="G314" s="438">
        <v>5.52</v>
      </c>
      <c r="H314" s="438">
        <v>5.35</v>
      </c>
      <c r="I314" s="438">
        <v>4.8</v>
      </c>
      <c r="J314" s="438">
        <v>4.43</v>
      </c>
      <c r="K314" s="438">
        <v>4.08</v>
      </c>
      <c r="L314" s="438">
        <v>3.98</v>
      </c>
      <c r="M314" s="438">
        <v>3.85</v>
      </c>
      <c r="N314" s="438">
        <v>4.0999999999999996</v>
      </c>
      <c r="O314" s="438">
        <v>3.91</v>
      </c>
    </row>
    <row r="315" spans="2:15">
      <c r="B315" s="436" t="s">
        <v>507</v>
      </c>
      <c r="C315" s="436">
        <v>5.43</v>
      </c>
      <c r="D315" s="436">
        <v>5.54</v>
      </c>
      <c r="E315" s="436">
        <v>5.5</v>
      </c>
      <c r="F315" s="436">
        <v>5.54</v>
      </c>
      <c r="G315" s="436">
        <v>5.53</v>
      </c>
      <c r="H315" s="436">
        <v>5.35</v>
      </c>
      <c r="I315" s="436">
        <v>4.82</v>
      </c>
      <c r="J315" s="436">
        <v>4.4400000000000004</v>
      </c>
      <c r="K315" s="436">
        <v>4.09</v>
      </c>
      <c r="L315" s="436">
        <v>3.97</v>
      </c>
      <c r="M315" s="436">
        <v>3.84</v>
      </c>
      <c r="N315" s="436">
        <v>4.0999999999999996</v>
      </c>
      <c r="O315" s="436">
        <v>3.91</v>
      </c>
    </row>
    <row r="316" spans="2:15">
      <c r="B316" s="438" t="s">
        <v>508</v>
      </c>
      <c r="C316" s="438">
        <v>5.44</v>
      </c>
      <c r="D316" s="438">
        <v>5.54</v>
      </c>
      <c r="E316" s="438">
        <v>5.51</v>
      </c>
      <c r="F316" s="438">
        <v>5.55</v>
      </c>
      <c r="G316" s="438">
        <v>5.55</v>
      </c>
      <c r="H316" s="438">
        <v>5.38</v>
      </c>
      <c r="I316" s="438">
        <v>4.8099999999999996</v>
      </c>
      <c r="J316" s="438">
        <v>4.4800000000000004</v>
      </c>
      <c r="K316" s="438">
        <v>4.13</v>
      </c>
      <c r="L316" s="438">
        <v>4</v>
      </c>
      <c r="M316" s="438">
        <v>3.86</v>
      </c>
      <c r="N316" s="438">
        <v>4.1100000000000003</v>
      </c>
      <c r="O316" s="438">
        <v>3.92</v>
      </c>
    </row>
    <row r="317" spans="2:15">
      <c r="B317" s="436" t="s">
        <v>509</v>
      </c>
      <c r="C317" s="436">
        <v>5.46</v>
      </c>
      <c r="D317" s="436">
        <v>5.54</v>
      </c>
      <c r="E317" s="436">
        <v>5.51</v>
      </c>
      <c r="F317" s="436">
        <v>5.55</v>
      </c>
      <c r="G317" s="436">
        <v>5.57</v>
      </c>
      <c r="H317" s="436">
        <v>5.38</v>
      </c>
      <c r="I317" s="436">
        <v>4.8499999999999996</v>
      </c>
      <c r="J317" s="436">
        <v>4.53</v>
      </c>
      <c r="K317" s="436">
        <v>4.1500000000000004</v>
      </c>
      <c r="L317" s="436">
        <v>4.05</v>
      </c>
      <c r="M317" s="436">
        <v>3.91</v>
      </c>
      <c r="N317" s="436">
        <v>4.1399999999999997</v>
      </c>
      <c r="O317" s="436">
        <v>3.95</v>
      </c>
    </row>
    <row r="318" spans="2:15">
      <c r="B318" s="438" t="s">
        <v>510</v>
      </c>
      <c r="C318" s="438">
        <v>5.46</v>
      </c>
      <c r="D318" s="438">
        <v>5.53</v>
      </c>
      <c r="E318" s="438">
        <v>5.51</v>
      </c>
      <c r="F318" s="438">
        <v>5.57</v>
      </c>
      <c r="G318" s="438">
        <v>5.55</v>
      </c>
      <c r="H318" s="438">
        <v>5.37</v>
      </c>
      <c r="I318" s="438">
        <v>4.82</v>
      </c>
      <c r="J318" s="438">
        <v>4.47</v>
      </c>
      <c r="K318" s="438">
        <v>4.09</v>
      </c>
      <c r="L318" s="438">
        <v>3.99</v>
      </c>
      <c r="M318" s="438">
        <v>3.86</v>
      </c>
      <c r="N318" s="438">
        <v>4.12</v>
      </c>
      <c r="O318" s="438">
        <v>3.94</v>
      </c>
    </row>
    <row r="319" spans="2:15">
      <c r="B319" s="436" t="s">
        <v>511</v>
      </c>
      <c r="C319" s="436">
        <v>5.47</v>
      </c>
      <c r="D319" s="436">
        <v>5.55</v>
      </c>
      <c r="E319" s="436">
        <v>5.51</v>
      </c>
      <c r="F319" s="436">
        <v>5.58</v>
      </c>
      <c r="G319" s="436">
        <v>5.56</v>
      </c>
      <c r="H319" s="436">
        <v>5.4</v>
      </c>
      <c r="I319" s="436">
        <v>4.91</v>
      </c>
      <c r="J319" s="436">
        <v>4.58</v>
      </c>
      <c r="K319" s="436">
        <v>4.24</v>
      </c>
      <c r="L319" s="436">
        <v>4.13</v>
      </c>
      <c r="M319" s="436">
        <v>4.01</v>
      </c>
      <c r="N319" s="436">
        <v>4.26</v>
      </c>
      <c r="O319" s="436">
        <v>4.0599999999999996</v>
      </c>
    </row>
    <row r="320" spans="2:15">
      <c r="B320" s="438" t="s">
        <v>512</v>
      </c>
      <c r="C320" s="438">
        <v>5.47</v>
      </c>
      <c r="D320" s="438">
        <v>5.54</v>
      </c>
      <c r="E320" s="438">
        <v>5.52</v>
      </c>
      <c r="F320" s="438">
        <v>5.57</v>
      </c>
      <c r="G320" s="438">
        <v>5.54</v>
      </c>
      <c r="H320" s="438">
        <v>5.37</v>
      </c>
      <c r="I320" s="438">
        <v>4.87</v>
      </c>
      <c r="J320" s="438">
        <v>4.5199999999999996</v>
      </c>
      <c r="K320" s="438">
        <v>4.18</v>
      </c>
      <c r="L320" s="438">
        <v>4.08</v>
      </c>
      <c r="M320" s="438">
        <v>3.96</v>
      </c>
      <c r="N320" s="438">
        <v>4.22</v>
      </c>
      <c r="O320" s="438">
        <v>4.03</v>
      </c>
    </row>
    <row r="321" spans="2:15">
      <c r="B321" s="436" t="s">
        <v>513</v>
      </c>
      <c r="C321" s="436">
        <v>5.48</v>
      </c>
      <c r="D321" s="436">
        <v>5.54</v>
      </c>
      <c r="E321" s="436">
        <v>5.55</v>
      </c>
      <c r="F321" s="436">
        <v>5.56</v>
      </c>
      <c r="G321" s="436">
        <v>5.53</v>
      </c>
      <c r="H321" s="436">
        <v>5.37</v>
      </c>
      <c r="I321" s="436">
        <v>4.88</v>
      </c>
      <c r="J321" s="436">
        <v>4.51</v>
      </c>
      <c r="K321" s="436">
        <v>4.18</v>
      </c>
      <c r="L321" s="436">
        <v>4.08</v>
      </c>
      <c r="M321" s="436">
        <v>3.97</v>
      </c>
      <c r="N321" s="436">
        <v>4.22</v>
      </c>
      <c r="O321" s="436">
        <v>4.0199999999999996</v>
      </c>
    </row>
    <row r="322" spans="2:15">
      <c r="B322" s="437">
        <v>44934</v>
      </c>
      <c r="C322" s="438">
        <v>5.49</v>
      </c>
      <c r="D322" s="438">
        <v>5.54</v>
      </c>
      <c r="E322" s="438">
        <v>5.54</v>
      </c>
      <c r="F322" s="438">
        <v>5.57</v>
      </c>
      <c r="G322" s="438">
        <v>5.54</v>
      </c>
      <c r="H322" s="438">
        <v>5.38</v>
      </c>
      <c r="I322" s="438">
        <v>4.92</v>
      </c>
      <c r="J322" s="438">
        <v>4.57</v>
      </c>
      <c r="K322" s="438">
        <v>4.24</v>
      </c>
      <c r="L322" s="438">
        <v>4.1500000000000004</v>
      </c>
      <c r="M322" s="438">
        <v>4.05</v>
      </c>
      <c r="N322" s="438">
        <v>4.3</v>
      </c>
      <c r="O322" s="438">
        <v>4.1100000000000003</v>
      </c>
    </row>
    <row r="323" spans="2:15">
      <c r="B323" s="435">
        <v>44965</v>
      </c>
      <c r="C323" s="436">
        <v>5.48</v>
      </c>
      <c r="D323" s="436">
        <v>5.53</v>
      </c>
      <c r="E323" s="436">
        <v>5.53</v>
      </c>
      <c r="F323" s="436">
        <v>5.54</v>
      </c>
      <c r="G323" s="436">
        <v>5.52</v>
      </c>
      <c r="H323" s="436">
        <v>5.36</v>
      </c>
      <c r="I323" s="436">
        <v>4.88</v>
      </c>
      <c r="J323" s="436">
        <v>4.54</v>
      </c>
      <c r="K323" s="436">
        <v>4.24</v>
      </c>
      <c r="L323" s="436">
        <v>4.17</v>
      </c>
      <c r="M323" s="436">
        <v>4.08</v>
      </c>
      <c r="N323" s="436">
        <v>4.3499999999999996</v>
      </c>
      <c r="O323" s="436">
        <v>4.17</v>
      </c>
    </row>
    <row r="324" spans="2:15">
      <c r="B324" s="437">
        <v>44993</v>
      </c>
      <c r="C324" s="438">
        <v>5.54</v>
      </c>
      <c r="D324" s="438">
        <v>5.52</v>
      </c>
      <c r="E324" s="438">
        <v>5.54</v>
      </c>
      <c r="F324" s="438">
        <v>5.53</v>
      </c>
      <c r="G324" s="438">
        <v>5.52</v>
      </c>
      <c r="H324" s="438">
        <v>5.37</v>
      </c>
      <c r="I324" s="438">
        <v>4.9000000000000004</v>
      </c>
      <c r="J324" s="438">
        <v>4.58</v>
      </c>
      <c r="K324" s="438">
        <v>4.3</v>
      </c>
      <c r="L324" s="438">
        <v>4.26</v>
      </c>
      <c r="M324" s="438">
        <v>4.2</v>
      </c>
      <c r="N324" s="438">
        <v>4.49</v>
      </c>
      <c r="O324" s="438">
        <v>4.32</v>
      </c>
    </row>
    <row r="325" spans="2:15">
      <c r="B325" s="435">
        <v>45024</v>
      </c>
      <c r="C325" s="436">
        <v>5.54</v>
      </c>
      <c r="D325" s="436">
        <v>5.51</v>
      </c>
      <c r="E325" s="436">
        <v>5.54</v>
      </c>
      <c r="F325" s="436">
        <v>5.52</v>
      </c>
      <c r="G325" s="436">
        <v>5.5</v>
      </c>
      <c r="H325" s="436">
        <v>5.33</v>
      </c>
      <c r="I325" s="436">
        <v>4.78</v>
      </c>
      <c r="J325" s="436">
        <v>4.45</v>
      </c>
      <c r="K325" s="436">
        <v>4.1500000000000004</v>
      </c>
      <c r="L325" s="436">
        <v>4.0999999999999996</v>
      </c>
      <c r="M325" s="436">
        <v>4.05</v>
      </c>
      <c r="N325" s="436">
        <v>4.3600000000000003</v>
      </c>
      <c r="O325" s="436">
        <v>4.21</v>
      </c>
    </row>
    <row r="326" spans="2:15">
      <c r="B326" s="439">
        <v>45115</v>
      </c>
      <c r="C326" s="440">
        <v>5.54</v>
      </c>
      <c r="D326" s="440">
        <v>5.51</v>
      </c>
      <c r="E326" s="440">
        <v>5.56</v>
      </c>
      <c r="F326" s="440">
        <v>5.53</v>
      </c>
      <c r="G326" s="440">
        <v>5.53</v>
      </c>
      <c r="H326" s="440">
        <v>5.3</v>
      </c>
      <c r="I326" s="440">
        <v>4.76</v>
      </c>
      <c r="J326" s="440">
        <v>4.4400000000000004</v>
      </c>
      <c r="K326" s="440">
        <v>4.16</v>
      </c>
      <c r="L326" s="440">
        <v>4.13</v>
      </c>
      <c r="M326" s="440">
        <v>4.09</v>
      </c>
      <c r="N326" s="440">
        <v>4.42</v>
      </c>
      <c r="O326" s="440">
        <v>4.2699999999999996</v>
      </c>
    </row>
    <row r="327" spans="2:15">
      <c r="B327" s="441" t="s">
        <v>514</v>
      </c>
      <c r="C327" s="442">
        <f t="shared" ref="C327:O327" si="53">AVERAGE(C177:C326)</f>
        <v>4.8712666666666644</v>
      </c>
      <c r="D327" s="442">
        <f t="shared" si="53"/>
        <v>5.017999999999998</v>
      </c>
      <c r="E327" s="442">
        <f t="shared" si="53"/>
        <v>5.1062000000000021</v>
      </c>
      <c r="F327" s="442">
        <f t="shared" si="53"/>
        <v>5.1643999999999988</v>
      </c>
      <c r="G327" s="442">
        <f t="shared" si="53"/>
        <v>5.1535999999999973</v>
      </c>
      <c r="H327" s="442">
        <f t="shared" si="53"/>
        <v>4.9399333333333342</v>
      </c>
      <c r="I327" s="442">
        <f t="shared" si="53"/>
        <v>4.3914</v>
      </c>
      <c r="J327" s="442">
        <f t="shared" si="53"/>
        <v>4.0900000000000043</v>
      </c>
      <c r="K327" s="442">
        <f t="shared" si="53"/>
        <v>3.815399999999999</v>
      </c>
      <c r="L327" s="442">
        <f t="shared" si="53"/>
        <v>3.7538000000000005</v>
      </c>
      <c r="M327" s="442">
        <f t="shared" si="53"/>
        <v>3.6737333333333329</v>
      </c>
      <c r="N327" s="442">
        <f t="shared" si="53"/>
        <v>3.9656000000000016</v>
      </c>
      <c r="O327" s="442">
        <f t="shared" si="53"/>
        <v>3.8149999999999986</v>
      </c>
    </row>
    <row r="329" spans="2:15">
      <c r="B329" s="529" t="s">
        <v>515</v>
      </c>
      <c r="C329" s="529"/>
      <c r="D329" s="529"/>
      <c r="E329" s="529"/>
      <c r="F329" s="529"/>
      <c r="G329" s="529"/>
      <c r="H329" s="529"/>
      <c r="I329" s="529"/>
      <c r="J329" s="529"/>
      <c r="K329" s="529"/>
      <c r="L329" s="529"/>
      <c r="M329" s="529"/>
      <c r="N329" s="529"/>
      <c r="O329" s="529"/>
    </row>
  </sheetData>
  <mergeCells count="21">
    <mergeCell ref="B329:O329"/>
    <mergeCell ref="B130:C130"/>
    <mergeCell ref="M150:O150"/>
    <mergeCell ref="B152:E152"/>
    <mergeCell ref="B154:E154"/>
    <mergeCell ref="B161:E161"/>
    <mergeCell ref="J111:K111"/>
    <mergeCell ref="C112:E112"/>
    <mergeCell ref="H120:I120"/>
    <mergeCell ref="C121:E121"/>
    <mergeCell ref="B129:C129"/>
    <mergeCell ref="B8:E8"/>
    <mergeCell ref="B9:E9"/>
    <mergeCell ref="C11:E11"/>
    <mergeCell ref="F11:H11"/>
    <mergeCell ref="H111:I111"/>
    <mergeCell ref="B1:K1"/>
    <mergeCell ref="B3:E3"/>
    <mergeCell ref="B4:E4"/>
    <mergeCell ref="B6:E6"/>
    <mergeCell ref="B7:E7"/>
  </mergeCells>
  <conditionalFormatting sqref="J113:J118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113:K118">
    <cfRule type="iconSet" priority="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2">
    <dataValidation type="list" allowBlank="1" showInputMessage="1" showErrorMessage="1" errorTitle="Plazo del Título" error="Ojo solo valores de la lista" promptTitle="Plazo del Título " prompt="Elija de la lista ST para letras del tesoro o LT para bonos" sqref="F3" xr:uid="{00000000-0002-0000-0600-000000000000}">
      <formula1>$J$3:$J$4</formula1>
      <formula2>0</formula2>
    </dataValidation>
    <dataValidation type="whole" allowBlank="1" showInputMessage="1" showErrorMessage="1" errorTitle="Longitud de la serie" error="Ingrese un número entero entre 1928 y 2016_x000a_" promptTitle="Longitud de la Seríe" prompt="Ingrese el año inicial de la serie considerada para el calculo de la prima de mercado_x000a_" sqref="F4" xr:uid="{00000000-0002-0000-0600-000001000000}">
      <formula1>B14</formula1>
      <formula2>B102</formula2>
    </dataValidation>
  </dataValidations>
  <hyperlinks>
    <hyperlink ref="B130" r:id="rId1" xr:uid="{00000000-0004-0000-0600-000000000000}"/>
  </hyperlinks>
  <pageMargins left="0.7" right="0.7" top="0.75" bottom="0.75" header="0.51180555555555496" footer="0.51180555555555496"/>
  <pageSetup orientation="portrait" horizontalDpi="300" verticalDpi="30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4" name="Check Box 1">
              <controlPr defaultSize="0" autoFill="0" autoLine="0" autoPict="0" altText="Spot">
                <anchor moveWithCells="1">
                  <from>
                    <xdr:col>8</xdr:col>
                    <xdr:colOff>342900</xdr:colOff>
                    <xdr:row>134</xdr:row>
                    <xdr:rowOff>38100</xdr:rowOff>
                  </from>
                  <to>
                    <xdr:col>9</xdr:col>
                    <xdr:colOff>523875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5" name="Check Box 2">
              <controlPr defaultSize="0" autoFill="0" autoLine="0" autoPict="0" altText="Yield 10 a os">
                <anchor moveWithCells="1">
                  <from>
                    <xdr:col>9</xdr:col>
                    <xdr:colOff>0</xdr:colOff>
                    <xdr:row>151</xdr:row>
                    <xdr:rowOff>0</xdr:rowOff>
                  </from>
                  <to>
                    <xdr:col>10</xdr:col>
                    <xdr:colOff>247650</xdr:colOff>
                    <xdr:row>152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MJ104"/>
  <sheetViews>
    <sheetView zoomScaleNormal="100" zoomScalePageLayoutView="60" workbookViewId="0"/>
  </sheetViews>
  <sheetFormatPr baseColWidth="10" defaultColWidth="7.42578125" defaultRowHeight="15"/>
  <cols>
    <col min="1" max="1" width="3.7109375" style="188" customWidth="1"/>
    <col min="2" max="2" width="26.140625" style="188" customWidth="1"/>
    <col min="3" max="3" width="7.5703125" style="188" customWidth="1"/>
    <col min="4" max="4" width="4" style="188" customWidth="1"/>
    <col min="5" max="5" width="7" style="188" customWidth="1"/>
    <col min="6" max="6" width="6.5703125" style="188" customWidth="1"/>
    <col min="7" max="7" width="7.42578125" style="188" customWidth="1"/>
    <col min="8" max="8" width="7.5703125" style="188" customWidth="1"/>
    <col min="9" max="9" width="7.42578125" style="188" customWidth="1"/>
    <col min="10" max="10" width="7.140625" style="188" customWidth="1"/>
    <col min="11" max="11" width="8.42578125" style="188" customWidth="1"/>
    <col min="12" max="12" width="8.7109375" style="188" customWidth="1"/>
    <col min="13" max="16" width="4.140625" style="188" customWidth="1"/>
    <col min="17" max="17" width="6.28515625" style="188" customWidth="1"/>
    <col min="18" max="18" width="3.85546875" style="188" customWidth="1"/>
    <col min="19" max="19" width="5.42578125" style="188" customWidth="1"/>
    <col min="20" max="20" width="5.140625" style="188" customWidth="1"/>
    <col min="21" max="21" width="3" style="188" customWidth="1"/>
    <col min="22" max="1024" width="7.42578125" style="188"/>
  </cols>
  <sheetData>
    <row r="2" spans="2:24" ht="94.5">
      <c r="B2" s="443" t="s">
        <v>516</v>
      </c>
      <c r="C2" s="443" t="s">
        <v>517</v>
      </c>
      <c r="D2" s="444" t="s">
        <v>518</v>
      </c>
      <c r="E2" s="443" t="s">
        <v>519</v>
      </c>
      <c r="F2" s="443" t="s">
        <v>520</v>
      </c>
      <c r="G2" s="443" t="s">
        <v>521</v>
      </c>
      <c r="H2" s="443" t="s">
        <v>522</v>
      </c>
      <c r="I2" s="443" t="s">
        <v>523</v>
      </c>
      <c r="J2" s="443" t="s">
        <v>524</v>
      </c>
      <c r="K2" s="443" t="s">
        <v>525</v>
      </c>
      <c r="L2" s="445" t="s">
        <v>526</v>
      </c>
      <c r="M2" s="446" t="s">
        <v>527</v>
      </c>
      <c r="N2" s="446" t="s">
        <v>528</v>
      </c>
      <c r="O2" s="446" t="s">
        <v>529</v>
      </c>
      <c r="P2" s="446" t="s">
        <v>530</v>
      </c>
      <c r="Q2" s="447" t="s">
        <v>531</v>
      </c>
    </row>
    <row r="3" spans="2:24">
      <c r="B3" s="448" t="s">
        <v>532</v>
      </c>
      <c r="C3" s="449">
        <v>58</v>
      </c>
      <c r="D3" s="450">
        <v>1.63173805953472</v>
      </c>
      <c r="E3" s="451">
        <v>0.449889448288531</v>
      </c>
      <c r="F3" s="451">
        <v>6.3905088196058502E-2</v>
      </c>
      <c r="G3" s="452">
        <v>1.22006670645353</v>
      </c>
      <c r="H3" s="451">
        <v>9.3488853578428094E-2</v>
      </c>
      <c r="I3" s="453">
        <v>1.3458926691301201</v>
      </c>
      <c r="J3" s="452">
        <v>0.68674540200942202</v>
      </c>
      <c r="K3" s="451">
        <v>0.52722114455333002</v>
      </c>
      <c r="L3" s="454">
        <v>0.143968940097184</v>
      </c>
      <c r="M3" s="452">
        <v>0.867981315356676</v>
      </c>
      <c r="N3" s="452">
        <v>0.93495314294485998</v>
      </c>
      <c r="O3" s="452">
        <v>0.77</v>
      </c>
      <c r="P3" s="452">
        <v>1.10182468981429</v>
      </c>
      <c r="Q3" s="452">
        <v>1.00413036344919</v>
      </c>
      <c r="S3" s="455">
        <f t="shared" ref="S3:S34" si="0">G3/I3</f>
        <v>0.9065111464215686</v>
      </c>
      <c r="T3" s="456">
        <f t="shared" ref="T3:T34" si="1">G3/S3</f>
        <v>1.3458926691301201</v>
      </c>
      <c r="V3" s="456"/>
      <c r="W3" s="457"/>
      <c r="X3" s="457"/>
    </row>
    <row r="4" spans="2:24">
      <c r="B4" s="448" t="s">
        <v>533</v>
      </c>
      <c r="C4" s="449">
        <v>77</v>
      </c>
      <c r="D4" s="450">
        <v>1.4141822802591899</v>
      </c>
      <c r="E4" s="451">
        <v>0.26057120698011998</v>
      </c>
      <c r="F4" s="451">
        <v>8.6027664407677298E-2</v>
      </c>
      <c r="G4" s="452">
        <v>1.1829920337061699</v>
      </c>
      <c r="H4" s="451">
        <v>3.7667223768941403E-2</v>
      </c>
      <c r="I4" s="453">
        <v>1.22929620909237</v>
      </c>
      <c r="J4" s="452">
        <v>0.472073856687588</v>
      </c>
      <c r="K4" s="451">
        <v>0.37555544953771802</v>
      </c>
      <c r="L4" s="454">
        <v>0.19186738783955201</v>
      </c>
      <c r="M4" s="452">
        <v>1.09222603297197</v>
      </c>
      <c r="N4" s="452">
        <v>1.07852215988735</v>
      </c>
      <c r="O4" s="452">
        <v>0.91</v>
      </c>
      <c r="P4" s="452">
        <v>1.1104126718043199</v>
      </c>
      <c r="Q4" s="452">
        <v>1.0840914147512</v>
      </c>
      <c r="S4" s="455">
        <f t="shared" si="0"/>
        <v>0.9623327762310534</v>
      </c>
      <c r="T4" s="456">
        <f t="shared" si="1"/>
        <v>1.22929620909237</v>
      </c>
      <c r="V4" s="456"/>
      <c r="W4" s="457"/>
      <c r="X4" s="457"/>
    </row>
    <row r="5" spans="2:24">
      <c r="B5" s="448" t="s">
        <v>534</v>
      </c>
      <c r="C5" s="449">
        <v>21</v>
      </c>
      <c r="D5" s="450">
        <v>1.4159650876966501</v>
      </c>
      <c r="E5" s="451">
        <v>1.8633437109872599</v>
      </c>
      <c r="F5" s="451">
        <v>0.104718126779379</v>
      </c>
      <c r="G5" s="452">
        <v>0.59059874491120401</v>
      </c>
      <c r="H5" s="451">
        <v>0.148990714693264</v>
      </c>
      <c r="I5" s="453">
        <v>0.69399800343932805</v>
      </c>
      <c r="J5" s="452">
        <v>0.440269528812886</v>
      </c>
      <c r="K5" s="451">
        <v>0.37727498727802999</v>
      </c>
      <c r="L5" s="454">
        <v>2.21200984106724</v>
      </c>
      <c r="M5" s="452">
        <v>0.63449012760872203</v>
      </c>
      <c r="N5" s="452">
        <v>0.84367299762743897</v>
      </c>
      <c r="O5" s="452">
        <v>0.91</v>
      </c>
      <c r="P5" s="452">
        <v>0.91413822789599297</v>
      </c>
      <c r="Q5" s="452">
        <v>0.79925987131429699</v>
      </c>
      <c r="S5" s="455">
        <f t="shared" si="0"/>
        <v>0.85100928530673559</v>
      </c>
      <c r="T5" s="456">
        <f t="shared" si="1"/>
        <v>0.69399800343932805</v>
      </c>
      <c r="V5" s="456"/>
      <c r="W5" s="457"/>
      <c r="X5" s="457"/>
    </row>
    <row r="6" spans="2:24">
      <c r="B6" s="448" t="s">
        <v>535</v>
      </c>
      <c r="C6" s="449">
        <v>39</v>
      </c>
      <c r="D6" s="450">
        <v>1.32469740256416</v>
      </c>
      <c r="E6" s="451">
        <v>0.51572351613205902</v>
      </c>
      <c r="F6" s="451">
        <v>0.120381182619586</v>
      </c>
      <c r="G6" s="452">
        <v>0.95522385043464397</v>
      </c>
      <c r="H6" s="451">
        <v>6.01703178476935E-2</v>
      </c>
      <c r="I6" s="453">
        <v>1.0163797426009</v>
      </c>
      <c r="J6" s="452">
        <v>0.52198327117155296</v>
      </c>
      <c r="K6" s="451">
        <v>0.38508746928890403</v>
      </c>
      <c r="L6" s="454">
        <v>0.230181700025371</v>
      </c>
      <c r="M6" s="452">
        <v>0.763172924132689</v>
      </c>
      <c r="N6" s="452">
        <v>0.829641000943383</v>
      </c>
      <c r="O6" s="452">
        <v>0.94</v>
      </c>
      <c r="P6" s="452">
        <v>1.0983460428810601</v>
      </c>
      <c r="Q6" s="452">
        <v>0.92950794211160603</v>
      </c>
      <c r="S6" s="455">
        <f t="shared" si="0"/>
        <v>0.93982968215230356</v>
      </c>
      <c r="T6" s="456">
        <f t="shared" si="1"/>
        <v>1.0163797426009</v>
      </c>
      <c r="V6" s="456"/>
      <c r="W6" s="457"/>
      <c r="X6" s="457"/>
    </row>
    <row r="7" spans="2:24">
      <c r="B7" s="448" t="s">
        <v>536</v>
      </c>
      <c r="C7" s="449">
        <v>31</v>
      </c>
      <c r="D7" s="450">
        <v>1.5405976750533801</v>
      </c>
      <c r="E7" s="451">
        <v>0.50190983747582496</v>
      </c>
      <c r="F7" s="451">
        <v>2.9973504818388601E-2</v>
      </c>
      <c r="G7" s="452">
        <v>1.11926869750936</v>
      </c>
      <c r="H7" s="451">
        <v>8.6707773582228406E-2</v>
      </c>
      <c r="I7" s="453">
        <v>1.22553183431714</v>
      </c>
      <c r="J7" s="452">
        <v>0.69063526244432705</v>
      </c>
      <c r="K7" s="451">
        <v>0.52614124875248403</v>
      </c>
      <c r="L7" s="454">
        <v>0.46096910367745503</v>
      </c>
      <c r="M7" s="452">
        <v>0.341871095530978</v>
      </c>
      <c r="N7" s="452">
        <v>0.52573503977592395</v>
      </c>
      <c r="O7" s="452">
        <v>1.05</v>
      </c>
      <c r="P7" s="452">
        <v>1.02076580431927</v>
      </c>
      <c r="Q7" s="452">
        <v>0.83278075478866198</v>
      </c>
      <c r="S7" s="455">
        <f t="shared" si="0"/>
        <v>0.91329222641777452</v>
      </c>
      <c r="T7" s="456">
        <f t="shared" si="1"/>
        <v>1.22553183431714</v>
      </c>
      <c r="V7" s="456"/>
      <c r="W7" s="457"/>
      <c r="X7" s="457"/>
    </row>
    <row r="8" spans="2:24">
      <c r="B8" s="448" t="s">
        <v>537</v>
      </c>
      <c r="C8" s="449">
        <v>37</v>
      </c>
      <c r="D8" s="450">
        <v>1.4739918130238301</v>
      </c>
      <c r="E8" s="451">
        <v>0.42655404147602499</v>
      </c>
      <c r="F8" s="451">
        <v>9.2966768218859297E-2</v>
      </c>
      <c r="G8" s="452">
        <v>1.1167319258586099</v>
      </c>
      <c r="H8" s="451">
        <v>7.1275726876243506E-2</v>
      </c>
      <c r="I8" s="453">
        <v>1.2024364584576801</v>
      </c>
      <c r="J8" s="452">
        <v>0.50992876403924703</v>
      </c>
      <c r="K8" s="451">
        <v>0.39519394771296501</v>
      </c>
      <c r="L8" s="454">
        <v>0.25416812415110301</v>
      </c>
      <c r="M8" s="452">
        <v>0.96788506434122101</v>
      </c>
      <c r="N8" s="452">
        <v>0.94699357699930597</v>
      </c>
      <c r="O8" s="452">
        <v>1.0900000000000001</v>
      </c>
      <c r="P8" s="452">
        <v>1.21259435463361</v>
      </c>
      <c r="Q8" s="452">
        <v>1.0839818908863601</v>
      </c>
      <c r="S8" s="455">
        <f t="shared" si="0"/>
        <v>0.92872427312375394</v>
      </c>
      <c r="T8" s="456">
        <f t="shared" si="1"/>
        <v>1.2024364584576801</v>
      </c>
      <c r="V8" s="456"/>
      <c r="W8" s="457"/>
      <c r="X8" s="457"/>
    </row>
    <row r="9" spans="2:24">
      <c r="B9" s="448" t="s">
        <v>538</v>
      </c>
      <c r="C9" s="449">
        <v>7</v>
      </c>
      <c r="D9" s="450">
        <v>1.0801015876287701</v>
      </c>
      <c r="E9" s="451">
        <v>2.1638477432836201</v>
      </c>
      <c r="F9" s="451">
        <v>0.16253159242370299</v>
      </c>
      <c r="G9" s="452">
        <v>0.41179893709273502</v>
      </c>
      <c r="H9" s="451">
        <v>0.44301926004171199</v>
      </c>
      <c r="I9" s="453">
        <v>0.73934143059161195</v>
      </c>
      <c r="J9" s="452">
        <v>0.223547263062049</v>
      </c>
      <c r="K9" s="451">
        <v>0.19594323414619699</v>
      </c>
      <c r="L9" s="454" t="s">
        <v>539</v>
      </c>
      <c r="M9" s="452">
        <v>0.42823345075055202</v>
      </c>
      <c r="N9" s="452">
        <v>0.55954146707616603</v>
      </c>
      <c r="O9" s="452">
        <v>0.59</v>
      </c>
      <c r="P9" s="452">
        <v>1.0325147457583601</v>
      </c>
      <c r="Q9" s="452">
        <v>0.66992621883533798</v>
      </c>
      <c r="S9" s="455">
        <f t="shared" si="0"/>
        <v>0.55698073995828767</v>
      </c>
      <c r="T9" s="456">
        <f t="shared" si="1"/>
        <v>0.73934143059161195</v>
      </c>
      <c r="V9" s="456"/>
      <c r="W9" s="457"/>
      <c r="X9" s="457"/>
    </row>
    <row r="10" spans="2:24">
      <c r="B10" s="448" t="s">
        <v>540</v>
      </c>
      <c r="C10" s="449">
        <v>557</v>
      </c>
      <c r="D10" s="450">
        <v>0.50487423475647797</v>
      </c>
      <c r="E10" s="451">
        <v>0.64619811083770795</v>
      </c>
      <c r="F10" s="451">
        <v>0.18838462629709801</v>
      </c>
      <c r="G10" s="452">
        <v>0.34006312368726699</v>
      </c>
      <c r="H10" s="451">
        <v>0.17656400307971701</v>
      </c>
      <c r="I10" s="453">
        <v>0.412980638397071</v>
      </c>
      <c r="J10" s="452">
        <v>0.175651425572112</v>
      </c>
      <c r="K10" s="451">
        <v>0.16758082918348999</v>
      </c>
      <c r="L10" s="454">
        <v>0.95491634941234504</v>
      </c>
      <c r="M10" s="452">
        <v>0.40435165787685801</v>
      </c>
      <c r="N10" s="452">
        <v>0.43131558206262399</v>
      </c>
      <c r="O10" s="452">
        <v>0.6</v>
      </c>
      <c r="P10" s="452">
        <v>0.84127389209358905</v>
      </c>
      <c r="Q10" s="452">
        <v>0.53798435408602796</v>
      </c>
      <c r="S10" s="455">
        <f t="shared" si="0"/>
        <v>0.8234359969202828</v>
      </c>
      <c r="T10" s="456">
        <f t="shared" si="1"/>
        <v>0.412980638397071</v>
      </c>
      <c r="V10" s="456"/>
      <c r="W10" s="457"/>
      <c r="X10" s="457"/>
    </row>
    <row r="11" spans="2:24">
      <c r="B11" s="448" t="s">
        <v>541</v>
      </c>
      <c r="C11" s="449">
        <v>23</v>
      </c>
      <c r="D11" s="450">
        <v>1.0129742331996401</v>
      </c>
      <c r="E11" s="451">
        <v>0.22909687972770501</v>
      </c>
      <c r="F11" s="451">
        <v>9.3937841767617505E-2</v>
      </c>
      <c r="G11" s="452">
        <v>0.86444328818166305</v>
      </c>
      <c r="H11" s="451">
        <v>1.8550558673249701E-2</v>
      </c>
      <c r="I11" s="453">
        <v>0.88078229176337797</v>
      </c>
      <c r="J11" s="452">
        <v>0.58705825859902305</v>
      </c>
      <c r="K11" s="451">
        <v>0.49874676442989302</v>
      </c>
      <c r="L11" s="454">
        <v>0.33799560403248402</v>
      </c>
      <c r="M11" s="452">
        <v>1.04796490122873</v>
      </c>
      <c r="N11" s="452">
        <v>0.91888255777611105</v>
      </c>
      <c r="O11" s="452">
        <v>0.67</v>
      </c>
      <c r="P11" s="452">
        <v>0.720524811642413</v>
      </c>
      <c r="Q11" s="452">
        <v>0.84763091248212596</v>
      </c>
      <c r="S11" s="455">
        <f t="shared" si="0"/>
        <v>0.98144944132675138</v>
      </c>
      <c r="T11" s="456">
        <f t="shared" si="1"/>
        <v>0.88078229176337797</v>
      </c>
      <c r="V11" s="456"/>
      <c r="W11" s="457"/>
      <c r="X11" s="457"/>
    </row>
    <row r="12" spans="2:24">
      <c r="B12" s="448" t="s">
        <v>542</v>
      </c>
      <c r="C12" s="449">
        <v>31</v>
      </c>
      <c r="D12" s="450">
        <v>1.30344330704355</v>
      </c>
      <c r="E12" s="451">
        <v>0.15269044630749801</v>
      </c>
      <c r="F12" s="451">
        <v>6.4164664471146396E-2</v>
      </c>
      <c r="G12" s="452">
        <v>1.16951318895546</v>
      </c>
      <c r="H12" s="451">
        <v>2.6552309372989701E-2</v>
      </c>
      <c r="I12" s="453">
        <v>1.2014134916712</v>
      </c>
      <c r="J12" s="452">
        <v>0.610521321440614</v>
      </c>
      <c r="K12" s="451">
        <v>0.41717146856963999</v>
      </c>
      <c r="L12" s="454">
        <v>9.3564845497937602E-2</v>
      </c>
      <c r="M12" s="452">
        <v>1.04456327457464</v>
      </c>
      <c r="N12" s="452">
        <v>1.09071319281838</v>
      </c>
      <c r="O12" s="452">
        <v>0.71</v>
      </c>
      <c r="P12" s="452">
        <v>1.1155473334942101</v>
      </c>
      <c r="Q12" s="452">
        <v>1.0324474585116901</v>
      </c>
      <c r="S12" s="455">
        <f t="shared" si="0"/>
        <v>0.9734476906270082</v>
      </c>
      <c r="T12" s="456">
        <f t="shared" si="1"/>
        <v>1.2014134916712</v>
      </c>
      <c r="V12" s="456"/>
      <c r="W12" s="457"/>
      <c r="X12" s="457"/>
    </row>
    <row r="13" spans="2:24">
      <c r="B13" s="448" t="s">
        <v>543</v>
      </c>
      <c r="C13" s="449">
        <v>26</v>
      </c>
      <c r="D13" s="450">
        <v>1.3220586425472201</v>
      </c>
      <c r="E13" s="451">
        <v>1.46832076197225</v>
      </c>
      <c r="F13" s="451">
        <v>0.15763232212904699</v>
      </c>
      <c r="G13" s="452">
        <v>0.62918004748811196</v>
      </c>
      <c r="H13" s="451">
        <v>0.103936305011397</v>
      </c>
      <c r="I13" s="453">
        <v>0.702159959171334</v>
      </c>
      <c r="J13" s="452">
        <v>0.55839204502628303</v>
      </c>
      <c r="K13" s="451">
        <v>0.468984145587513</v>
      </c>
      <c r="L13" s="454">
        <v>0.31659100107044802</v>
      </c>
      <c r="M13" s="452">
        <v>0.50865466473151799</v>
      </c>
      <c r="N13" s="452">
        <v>0.72993739029315097</v>
      </c>
      <c r="O13" s="452">
        <v>0.65</v>
      </c>
      <c r="P13" s="452">
        <v>0.81127212371912205</v>
      </c>
      <c r="Q13" s="452">
        <v>0.68040482758302501</v>
      </c>
      <c r="S13" s="455">
        <f t="shared" si="0"/>
        <v>0.89606369498860272</v>
      </c>
      <c r="T13" s="456">
        <f t="shared" si="1"/>
        <v>0.702159959171334</v>
      </c>
      <c r="V13" s="456"/>
      <c r="W13" s="457"/>
      <c r="X13" s="457"/>
    </row>
    <row r="14" spans="2:24">
      <c r="B14" s="448" t="s">
        <v>544</v>
      </c>
      <c r="C14" s="449">
        <v>30</v>
      </c>
      <c r="D14" s="450">
        <v>1.2048082896180199</v>
      </c>
      <c r="E14" s="451">
        <v>2.0108831543010202</v>
      </c>
      <c r="F14" s="451">
        <v>0.15316532055411999</v>
      </c>
      <c r="G14" s="452">
        <v>0.48035498262864501</v>
      </c>
      <c r="H14" s="451">
        <v>0.30759698309671302</v>
      </c>
      <c r="I14" s="453">
        <v>0.69375056275316604</v>
      </c>
      <c r="J14" s="452">
        <v>0.35452868010802402</v>
      </c>
      <c r="K14" s="451">
        <v>0.27996249256243</v>
      </c>
      <c r="L14" s="454">
        <v>0.37879796819936601</v>
      </c>
      <c r="M14" s="452">
        <v>0.45767101776632002</v>
      </c>
      <c r="N14" s="452">
        <v>0.56767432387195604</v>
      </c>
      <c r="O14" s="452">
        <v>0.56999999999999995</v>
      </c>
      <c r="P14" s="452">
        <v>0.67007031178199405</v>
      </c>
      <c r="Q14" s="452">
        <v>0.591833243234687</v>
      </c>
      <c r="S14" s="455">
        <f t="shared" si="0"/>
        <v>0.69240301690328654</v>
      </c>
      <c r="T14" s="456">
        <f t="shared" si="1"/>
        <v>0.69375056275316604</v>
      </c>
      <c r="V14" s="456"/>
      <c r="W14" s="457"/>
      <c r="X14" s="457"/>
    </row>
    <row r="15" spans="2:24">
      <c r="B15" s="448" t="s">
        <v>545</v>
      </c>
      <c r="C15" s="449">
        <v>45</v>
      </c>
      <c r="D15" s="450">
        <v>1.27728009482373</v>
      </c>
      <c r="E15" s="451">
        <v>0.289262083898574</v>
      </c>
      <c r="F15" s="451">
        <v>0.16705684920922501</v>
      </c>
      <c r="G15" s="452">
        <v>1.0495777988433901</v>
      </c>
      <c r="H15" s="451">
        <v>4.4413028827024699E-2</v>
      </c>
      <c r="I15" s="453">
        <v>1.09835926033508</v>
      </c>
      <c r="J15" s="452">
        <v>0.42078237507538702</v>
      </c>
      <c r="K15" s="451">
        <v>0.29189913847162102</v>
      </c>
      <c r="L15" s="454">
        <v>0.51369471130317701</v>
      </c>
      <c r="M15" s="452">
        <v>0.91493430332035397</v>
      </c>
      <c r="N15" s="452">
        <v>1.0185312839204801</v>
      </c>
      <c r="O15" s="452">
        <v>0.97</v>
      </c>
      <c r="P15" s="452">
        <v>1.0871499229138399</v>
      </c>
      <c r="Q15" s="452">
        <v>1.0177949540979501</v>
      </c>
      <c r="S15" s="455">
        <f t="shared" si="0"/>
        <v>0.95558697117297664</v>
      </c>
      <c r="T15" s="456">
        <f t="shared" si="1"/>
        <v>1.09835926033508</v>
      </c>
      <c r="V15" s="456"/>
      <c r="W15" s="457"/>
      <c r="X15" s="457"/>
    </row>
    <row r="16" spans="2:24">
      <c r="B16" s="448" t="s">
        <v>546</v>
      </c>
      <c r="C16" s="449">
        <v>164</v>
      </c>
      <c r="D16" s="450">
        <v>1.1709200204529899</v>
      </c>
      <c r="E16" s="451">
        <v>0.27473813403561198</v>
      </c>
      <c r="F16" s="451">
        <v>9.4263090878766997E-2</v>
      </c>
      <c r="G16" s="452">
        <v>0.97086897293920205</v>
      </c>
      <c r="H16" s="451">
        <v>4.8045201312521803E-2</v>
      </c>
      <c r="I16" s="453">
        <v>1.01986877347307</v>
      </c>
      <c r="J16" s="452">
        <v>0.53842313775055095</v>
      </c>
      <c r="K16" s="451">
        <v>0.45782493709706801</v>
      </c>
      <c r="L16" s="454">
        <v>0.188855823489921</v>
      </c>
      <c r="M16" s="452">
        <v>1.0001911265533701</v>
      </c>
      <c r="N16" s="452">
        <v>0.89488661716469997</v>
      </c>
      <c r="O16" s="452">
        <v>0.83</v>
      </c>
      <c r="P16" s="452">
        <v>0.98611314803847105</v>
      </c>
      <c r="Q16" s="452">
        <v>0.94621193304592299</v>
      </c>
      <c r="S16" s="455">
        <f t="shared" si="0"/>
        <v>0.95195479868747857</v>
      </c>
      <c r="T16" s="456">
        <f t="shared" si="1"/>
        <v>1.01986877347307</v>
      </c>
      <c r="V16" s="456"/>
      <c r="W16" s="457"/>
      <c r="X16" s="457"/>
    </row>
    <row r="17" spans="2:24">
      <c r="B17" s="448" t="s">
        <v>547</v>
      </c>
      <c r="C17" s="449">
        <v>10</v>
      </c>
      <c r="D17" s="450">
        <v>1.2551641961018301</v>
      </c>
      <c r="E17" s="451">
        <v>1.07265844612572</v>
      </c>
      <c r="F17" s="451">
        <v>0.21948943063387399</v>
      </c>
      <c r="G17" s="452">
        <v>0.69557688257994699</v>
      </c>
      <c r="H17" s="451">
        <v>1.4652309221875799E-2</v>
      </c>
      <c r="I17" s="453">
        <v>0.70592024428519595</v>
      </c>
      <c r="J17" s="452">
        <v>0.40675102626099402</v>
      </c>
      <c r="K17" s="451">
        <v>0.25406917505650001</v>
      </c>
      <c r="L17" s="454">
        <v>0.28732110193947902</v>
      </c>
      <c r="M17" s="452">
        <v>0.761515774451065</v>
      </c>
      <c r="N17" s="452">
        <v>0.77660827932883303</v>
      </c>
      <c r="O17" s="452">
        <v>0.7</v>
      </c>
      <c r="P17" s="452">
        <v>0.66413861096321003</v>
      </c>
      <c r="Q17" s="452">
        <v>0.72163658180566104</v>
      </c>
      <c r="S17" s="455">
        <f t="shared" si="0"/>
        <v>0.98534769077812401</v>
      </c>
      <c r="T17" s="456">
        <f t="shared" si="1"/>
        <v>0.70592024428519595</v>
      </c>
      <c r="V17" s="456"/>
      <c r="W17" s="457"/>
      <c r="X17" s="457"/>
    </row>
    <row r="18" spans="2:24">
      <c r="B18" s="448" t="s">
        <v>548</v>
      </c>
      <c r="C18" s="449">
        <v>38</v>
      </c>
      <c r="D18" s="450">
        <v>1.2471014770997899</v>
      </c>
      <c r="E18" s="451">
        <v>0.48300567282668899</v>
      </c>
      <c r="F18" s="451">
        <v>9.82889168261427E-2</v>
      </c>
      <c r="G18" s="452">
        <v>0.91546895366287795</v>
      </c>
      <c r="H18" s="451">
        <v>4.5382199797510098E-2</v>
      </c>
      <c r="I18" s="453">
        <v>0.95899003084657797</v>
      </c>
      <c r="J18" s="452">
        <v>0.52696235580816397</v>
      </c>
      <c r="K18" s="451">
        <v>0.46579004421759901</v>
      </c>
      <c r="L18" s="454">
        <v>0.43451061610715003</v>
      </c>
      <c r="M18" s="452">
        <v>1.1226945412373199</v>
      </c>
      <c r="N18" s="452">
        <v>0.992956612498475</v>
      </c>
      <c r="O18" s="452">
        <v>0.76</v>
      </c>
      <c r="P18" s="452">
        <v>0.93712842522034601</v>
      </c>
      <c r="Q18" s="452">
        <v>0.95435392196054403</v>
      </c>
      <c r="S18" s="455">
        <f t="shared" si="0"/>
        <v>0.95461780020248965</v>
      </c>
      <c r="T18" s="456">
        <f t="shared" si="1"/>
        <v>0.95899003084657797</v>
      </c>
      <c r="V18" s="456"/>
      <c r="W18" s="457"/>
      <c r="X18" s="457"/>
    </row>
    <row r="19" spans="2:24">
      <c r="B19" s="448" t="s">
        <v>549</v>
      </c>
      <c r="C19" s="449">
        <v>4</v>
      </c>
      <c r="D19" s="450">
        <v>1.4125912305600901</v>
      </c>
      <c r="E19" s="451">
        <v>0.58242118157245404</v>
      </c>
      <c r="F19" s="451">
        <v>0.120244241468198</v>
      </c>
      <c r="G19" s="452">
        <v>0.98314004191332904</v>
      </c>
      <c r="H19" s="451">
        <v>9.82489140402283E-2</v>
      </c>
      <c r="I19" s="453">
        <v>1.0902565654988201</v>
      </c>
      <c r="J19" s="452">
        <v>0.44892380334886101</v>
      </c>
      <c r="K19" s="451">
        <v>0.39493176140036301</v>
      </c>
      <c r="L19" s="454">
        <v>0.41460083246837698</v>
      </c>
      <c r="M19" s="452">
        <v>1.4913554180375099</v>
      </c>
      <c r="N19" s="452">
        <v>1.2147165368811399</v>
      </c>
      <c r="O19" s="452">
        <v>1.03</v>
      </c>
      <c r="P19" s="452">
        <v>1.20791011257834</v>
      </c>
      <c r="Q19" s="452">
        <v>1.20684772659916</v>
      </c>
      <c r="S19" s="455">
        <f t="shared" si="0"/>
        <v>0.90175108595976894</v>
      </c>
      <c r="T19" s="456">
        <f t="shared" si="1"/>
        <v>1.0902565654988201</v>
      </c>
      <c r="V19" s="456"/>
      <c r="W19" s="457"/>
      <c r="X19" s="457"/>
    </row>
    <row r="20" spans="2:24">
      <c r="B20" s="448" t="s">
        <v>550</v>
      </c>
      <c r="C20" s="449">
        <v>76</v>
      </c>
      <c r="D20" s="450">
        <v>1.2772947079305701</v>
      </c>
      <c r="E20" s="451">
        <v>0.27404332014115201</v>
      </c>
      <c r="F20" s="451">
        <v>0.107497646389747</v>
      </c>
      <c r="G20" s="452">
        <v>1.0595274025492301</v>
      </c>
      <c r="H20" s="451">
        <v>4.9966819284392498E-2</v>
      </c>
      <c r="I20" s="453">
        <v>1.1152530501630999</v>
      </c>
      <c r="J20" s="452">
        <v>0.48818195945349102</v>
      </c>
      <c r="K20" s="451">
        <v>0.42320469092143598</v>
      </c>
      <c r="L20" s="454">
        <v>0.11590456255369</v>
      </c>
      <c r="M20" s="452">
        <v>0.98902378999477203</v>
      </c>
      <c r="N20" s="452">
        <v>0.964857094281665</v>
      </c>
      <c r="O20" s="452">
        <v>0.82</v>
      </c>
      <c r="P20" s="452">
        <v>0.99772295408911504</v>
      </c>
      <c r="Q20" s="452">
        <v>0.97737137770573002</v>
      </c>
      <c r="S20" s="455">
        <f t="shared" si="0"/>
        <v>0.95003318071560505</v>
      </c>
      <c r="T20" s="456">
        <f t="shared" si="1"/>
        <v>1.1152530501630999</v>
      </c>
      <c r="V20" s="456"/>
      <c r="W20" s="457"/>
      <c r="X20" s="457"/>
    </row>
    <row r="21" spans="2:24">
      <c r="B21" s="448" t="s">
        <v>551</v>
      </c>
      <c r="C21" s="449">
        <v>19</v>
      </c>
      <c r="D21" s="450">
        <v>1.4521788818808701</v>
      </c>
      <c r="E21" s="451">
        <v>0.217088364051465</v>
      </c>
      <c r="F21" s="451">
        <v>2.27624428406571E-2</v>
      </c>
      <c r="G21" s="452">
        <v>1.24884637027493</v>
      </c>
      <c r="H21" s="451">
        <v>0.12601748160559501</v>
      </c>
      <c r="I21" s="453">
        <v>1.4289145880963201</v>
      </c>
      <c r="J21" s="452">
        <v>0.55022556697275704</v>
      </c>
      <c r="K21" s="451">
        <v>0.61956739404999295</v>
      </c>
      <c r="L21" s="454" t="s">
        <v>539</v>
      </c>
      <c r="M21" s="452">
        <v>0.96728429164799401</v>
      </c>
      <c r="N21" s="452">
        <v>1.04866436402328</v>
      </c>
      <c r="O21" s="452">
        <v>0.56000000000000005</v>
      </c>
      <c r="P21" s="452">
        <v>0.81971087332733406</v>
      </c>
      <c r="Q21" s="452">
        <v>0.96491482341898505</v>
      </c>
      <c r="S21" s="455">
        <f t="shared" si="0"/>
        <v>0.87398251839440799</v>
      </c>
      <c r="T21" s="456">
        <f t="shared" si="1"/>
        <v>1.4289145880963201</v>
      </c>
      <c r="V21" s="456"/>
      <c r="W21" s="457"/>
      <c r="X21" s="457"/>
    </row>
    <row r="22" spans="2:24">
      <c r="B22" s="448" t="s">
        <v>552</v>
      </c>
      <c r="C22" s="449">
        <v>80</v>
      </c>
      <c r="D22" s="450">
        <v>1.1713869322889601</v>
      </c>
      <c r="E22" s="451">
        <v>0.32563052145455901</v>
      </c>
      <c r="F22" s="451">
        <v>6.4707619952578899E-2</v>
      </c>
      <c r="G22" s="452">
        <v>0.94146068254853199</v>
      </c>
      <c r="H22" s="451">
        <v>5.2114354259030403E-2</v>
      </c>
      <c r="I22" s="453">
        <v>0.99322179503265395</v>
      </c>
      <c r="J22" s="452">
        <v>0.60526859741162997</v>
      </c>
      <c r="K22" s="451">
        <v>0.47775300169020701</v>
      </c>
      <c r="L22" s="454">
        <v>0.26370038953388603</v>
      </c>
      <c r="M22" s="452">
        <v>1.04625924602159</v>
      </c>
      <c r="N22" s="452">
        <v>0.95286626462920199</v>
      </c>
      <c r="O22" s="452">
        <v>0.94</v>
      </c>
      <c r="P22" s="452">
        <v>1.0576213168025901</v>
      </c>
      <c r="Q22" s="452">
        <v>0.99799372449720702</v>
      </c>
      <c r="S22" s="455">
        <f t="shared" si="0"/>
        <v>0.94788564574096945</v>
      </c>
      <c r="T22" s="456">
        <f t="shared" si="1"/>
        <v>0.99322179503265395</v>
      </c>
      <c r="V22" s="456"/>
      <c r="W22" s="457"/>
      <c r="X22" s="457"/>
    </row>
    <row r="23" spans="2:24">
      <c r="B23" s="448" t="s">
        <v>553</v>
      </c>
      <c r="C23" s="449">
        <v>42</v>
      </c>
      <c r="D23" s="450">
        <v>1.2910863648381801</v>
      </c>
      <c r="E23" s="451">
        <v>9.5226989386829594E-2</v>
      </c>
      <c r="F23" s="451">
        <v>9.1326261969354394E-2</v>
      </c>
      <c r="G23" s="452">
        <v>1.20502330848238</v>
      </c>
      <c r="H23" s="451">
        <v>1.7944827521250099E-2</v>
      </c>
      <c r="I23" s="453">
        <v>1.2270423722130099</v>
      </c>
      <c r="J23" s="452">
        <v>0.460021295301071</v>
      </c>
      <c r="K23" s="451">
        <v>0.48725444355956699</v>
      </c>
      <c r="L23" s="454">
        <v>0.25020424928882501</v>
      </c>
      <c r="M23" s="452">
        <v>1.49827892816131</v>
      </c>
      <c r="N23" s="452">
        <v>1.6400833392351299</v>
      </c>
      <c r="O23" s="452">
        <v>1.1399999999999999</v>
      </c>
      <c r="P23" s="452">
        <v>1.24877089441753</v>
      </c>
      <c r="Q23" s="452">
        <v>1.3508351068053901</v>
      </c>
      <c r="S23" s="455">
        <f t="shared" si="0"/>
        <v>0.98205517247874841</v>
      </c>
      <c r="T23" s="456">
        <f t="shared" si="1"/>
        <v>1.2270423722130099</v>
      </c>
      <c r="V23" s="456"/>
      <c r="W23" s="457"/>
      <c r="X23" s="457"/>
    </row>
    <row r="24" spans="2:24">
      <c r="B24" s="448" t="s">
        <v>554</v>
      </c>
      <c r="C24" s="449">
        <v>49</v>
      </c>
      <c r="D24" s="450">
        <v>1.2643960028602199</v>
      </c>
      <c r="E24" s="451">
        <v>0.301262771750617</v>
      </c>
      <c r="F24" s="451">
        <v>0.105179072376864</v>
      </c>
      <c r="G24" s="452">
        <v>1.0313626295227101</v>
      </c>
      <c r="H24" s="451">
        <v>4.1538929160807002E-2</v>
      </c>
      <c r="I24" s="453">
        <v>1.0760610533922701</v>
      </c>
      <c r="J24" s="452">
        <v>0.45734095397806401</v>
      </c>
      <c r="K24" s="451">
        <v>0.35111645283882098</v>
      </c>
      <c r="L24" s="454">
        <v>0.193052421556517</v>
      </c>
      <c r="M24" s="452">
        <v>1.14959705412501</v>
      </c>
      <c r="N24" s="452">
        <v>1.10359654774166</v>
      </c>
      <c r="O24" s="452">
        <v>0.87</v>
      </c>
      <c r="P24" s="452">
        <v>0.97964859930627801</v>
      </c>
      <c r="Q24" s="452">
        <v>1.0357806509130401</v>
      </c>
      <c r="S24" s="455">
        <f t="shared" si="0"/>
        <v>0.95846107083919752</v>
      </c>
      <c r="T24" s="456">
        <f t="shared" si="1"/>
        <v>1.0760610533922701</v>
      </c>
      <c r="V24" s="456"/>
      <c r="W24" s="457"/>
      <c r="X24" s="457"/>
    </row>
    <row r="25" spans="2:24">
      <c r="B25" s="448" t="s">
        <v>555</v>
      </c>
      <c r="C25" s="449">
        <v>23</v>
      </c>
      <c r="D25" s="450">
        <v>1.03822847477909</v>
      </c>
      <c r="E25" s="451">
        <v>0.21236570626489801</v>
      </c>
      <c r="F25" s="451">
        <v>2.98002854579861E-2</v>
      </c>
      <c r="G25" s="452">
        <v>0.895584843863654</v>
      </c>
      <c r="H25" s="451">
        <v>4.6739475865868303E-2</v>
      </c>
      <c r="I25" s="453">
        <v>0.93949641382363402</v>
      </c>
      <c r="J25" s="452">
        <v>0.56432347793914595</v>
      </c>
      <c r="K25" s="451">
        <v>0.57844438730746495</v>
      </c>
      <c r="L25" s="454">
        <v>0.48718074359979802</v>
      </c>
      <c r="M25" s="452">
        <v>1.1438090814341499</v>
      </c>
      <c r="N25" s="452">
        <v>1.24848283029665</v>
      </c>
      <c r="O25" s="452">
        <v>0.89</v>
      </c>
      <c r="P25" s="452">
        <v>0.70214146215394402</v>
      </c>
      <c r="Q25" s="452">
        <v>0.98478595754167597</v>
      </c>
      <c r="S25" s="455">
        <f t="shared" si="0"/>
        <v>0.9532605241341312</v>
      </c>
      <c r="T25" s="456">
        <f t="shared" si="1"/>
        <v>0.93949641382363402</v>
      </c>
      <c r="V25" s="456"/>
      <c r="W25" s="457"/>
      <c r="X25" s="457"/>
    </row>
    <row r="26" spans="2:24">
      <c r="B26" s="448" t="s">
        <v>556</v>
      </c>
      <c r="C26" s="449">
        <v>598</v>
      </c>
      <c r="D26" s="450">
        <v>1.2417422800706099</v>
      </c>
      <c r="E26" s="451">
        <v>0.15320864211750801</v>
      </c>
      <c r="F26" s="451">
        <v>9.3669880911142409E-3</v>
      </c>
      <c r="G26" s="452">
        <v>1.11376362105439</v>
      </c>
      <c r="H26" s="451">
        <v>7.1437251488811804E-2</v>
      </c>
      <c r="I26" s="453">
        <v>1.1994489579084899</v>
      </c>
      <c r="J26" s="452">
        <v>0.65399906075149905</v>
      </c>
      <c r="K26" s="451">
        <v>0.58414093308210902</v>
      </c>
      <c r="L26" s="454">
        <v>0.29812569880822298</v>
      </c>
      <c r="M26" s="452">
        <v>1.4307835597315299</v>
      </c>
      <c r="N26" s="452">
        <v>1.3891731337867099</v>
      </c>
      <c r="O26" s="452">
        <v>0.85</v>
      </c>
      <c r="P26" s="452">
        <v>0.97223289569428195</v>
      </c>
      <c r="Q26" s="452">
        <v>1.1683277094241999</v>
      </c>
      <c r="S26" s="455">
        <f t="shared" si="0"/>
        <v>0.92856274851118992</v>
      </c>
      <c r="T26" s="456">
        <f t="shared" si="1"/>
        <v>1.1994489579084899</v>
      </c>
      <c r="V26" s="456"/>
      <c r="W26" s="457"/>
      <c r="X26" s="457"/>
    </row>
    <row r="27" spans="2:24">
      <c r="B27" s="448" t="s">
        <v>557</v>
      </c>
      <c r="C27" s="449">
        <v>281</v>
      </c>
      <c r="D27" s="450">
        <v>1.26800615551969</v>
      </c>
      <c r="E27" s="451">
        <v>0.13615574045546</v>
      </c>
      <c r="F27" s="451">
        <v>2.3739473614925202E-2</v>
      </c>
      <c r="G27" s="452">
        <v>1.1505188464363201</v>
      </c>
      <c r="H27" s="451">
        <v>2.5649637421181301E-2</v>
      </c>
      <c r="I27" s="453">
        <v>1.1808060946282499</v>
      </c>
      <c r="J27" s="452">
        <v>0.69191225362599196</v>
      </c>
      <c r="K27" s="451">
        <v>0.648835539504517</v>
      </c>
      <c r="L27" s="454">
        <v>0.185469718190962</v>
      </c>
      <c r="M27" s="452">
        <v>1.37908717026784</v>
      </c>
      <c r="N27" s="452">
        <v>1.2856575366949199</v>
      </c>
      <c r="O27" s="452">
        <v>0.84</v>
      </c>
      <c r="P27" s="452">
        <v>1.0098235735538901</v>
      </c>
      <c r="Q27" s="452">
        <v>1.1390748750289801</v>
      </c>
      <c r="S27" s="455">
        <f t="shared" si="0"/>
        <v>0.97435036257882368</v>
      </c>
      <c r="T27" s="456">
        <f t="shared" si="1"/>
        <v>1.1808060946282499</v>
      </c>
      <c r="V27" s="456"/>
      <c r="W27" s="457"/>
      <c r="X27" s="457"/>
    </row>
    <row r="28" spans="2:24">
      <c r="B28" s="448" t="s">
        <v>558</v>
      </c>
      <c r="C28" s="449">
        <v>33</v>
      </c>
      <c r="D28" s="450">
        <v>1.10082888931948</v>
      </c>
      <c r="E28" s="451">
        <v>0.30610420787144899</v>
      </c>
      <c r="F28" s="451">
        <v>7.0982357458296799E-2</v>
      </c>
      <c r="G28" s="452">
        <v>0.89528988786443398</v>
      </c>
      <c r="H28" s="451">
        <v>9.9048605897792394E-2</v>
      </c>
      <c r="I28" s="453">
        <v>0.99371608027377001</v>
      </c>
      <c r="J28" s="452">
        <v>0.54831668621017804</v>
      </c>
      <c r="K28" s="451">
        <v>0.41812601855058801</v>
      </c>
      <c r="L28" s="454">
        <v>0.17467699345638801</v>
      </c>
      <c r="M28" s="452">
        <v>1.10837551175251</v>
      </c>
      <c r="N28" s="452">
        <v>1.3560146590000399</v>
      </c>
      <c r="O28" s="452">
        <v>1.07</v>
      </c>
      <c r="P28" s="452">
        <v>1.1033169078612299</v>
      </c>
      <c r="Q28" s="452">
        <v>1.1262846317775099</v>
      </c>
      <c r="S28" s="455">
        <f t="shared" si="0"/>
        <v>0.90095139410220726</v>
      </c>
      <c r="T28" s="456">
        <f t="shared" si="1"/>
        <v>0.99371608027377001</v>
      </c>
      <c r="V28" s="456"/>
      <c r="W28" s="457"/>
      <c r="X28" s="457"/>
    </row>
    <row r="29" spans="2:24">
      <c r="B29" s="448" t="s">
        <v>559</v>
      </c>
      <c r="C29" s="449">
        <v>110</v>
      </c>
      <c r="D29" s="450">
        <v>1.58966866195112</v>
      </c>
      <c r="E29" s="451">
        <v>0.22517897119319399</v>
      </c>
      <c r="F29" s="451">
        <v>4.4688548247625401E-2</v>
      </c>
      <c r="G29" s="452">
        <v>1.35998811801409</v>
      </c>
      <c r="H29" s="451">
        <v>5.0721749418674897E-2</v>
      </c>
      <c r="I29" s="453">
        <v>1.4326548798323899</v>
      </c>
      <c r="J29" s="452">
        <v>0.59440287550492099</v>
      </c>
      <c r="K29" s="451">
        <v>0.58554859436634499</v>
      </c>
      <c r="L29" s="454">
        <v>0.13952392240432299</v>
      </c>
      <c r="M29" s="452">
        <v>1.18239792539074</v>
      </c>
      <c r="N29" s="452">
        <v>1.3071188590860701</v>
      </c>
      <c r="O29" s="452">
        <v>1</v>
      </c>
      <c r="P29" s="452">
        <v>1.19432733030688</v>
      </c>
      <c r="Q29" s="452">
        <v>1.2232997989232199</v>
      </c>
      <c r="S29" s="455">
        <f t="shared" si="0"/>
        <v>0.94927825058132542</v>
      </c>
      <c r="T29" s="456">
        <f t="shared" si="1"/>
        <v>1.4326548798323899</v>
      </c>
      <c r="V29" s="456"/>
      <c r="W29" s="457"/>
      <c r="X29" s="457"/>
    </row>
    <row r="30" spans="2:24">
      <c r="B30" s="448" t="s">
        <v>560</v>
      </c>
      <c r="C30" s="449">
        <v>16</v>
      </c>
      <c r="D30" s="450">
        <v>1.5389191240889399</v>
      </c>
      <c r="E30" s="451">
        <v>0.16454415358129601</v>
      </c>
      <c r="F30" s="451">
        <v>3.9839422941665703E-2</v>
      </c>
      <c r="G30" s="452">
        <v>1.36986648332532</v>
      </c>
      <c r="H30" s="451">
        <v>0.150765167489194</v>
      </c>
      <c r="I30" s="453">
        <v>1.6130596990178101</v>
      </c>
      <c r="J30" s="452">
        <v>0.59618023652287999</v>
      </c>
      <c r="K30" s="451">
        <v>0.39564713245016597</v>
      </c>
      <c r="L30" s="454">
        <v>3.2816740669127902</v>
      </c>
      <c r="M30" s="452">
        <v>1.22402770604303</v>
      </c>
      <c r="N30" s="452">
        <v>1.2507943575732801</v>
      </c>
      <c r="O30" s="452">
        <v>1.01</v>
      </c>
      <c r="P30" s="452">
        <v>1.05715967986444</v>
      </c>
      <c r="Q30" s="452">
        <v>1.23100828849971</v>
      </c>
      <c r="S30" s="455">
        <f t="shared" si="0"/>
        <v>0.84923483251080534</v>
      </c>
      <c r="T30" s="456">
        <f t="shared" si="1"/>
        <v>1.6130596990178101</v>
      </c>
      <c r="V30" s="456"/>
      <c r="W30" s="457"/>
      <c r="X30" s="457"/>
    </row>
    <row r="31" spans="2:24">
      <c r="B31" s="448" t="s">
        <v>561</v>
      </c>
      <c r="C31" s="449">
        <v>138</v>
      </c>
      <c r="D31" s="450">
        <v>1.2012527647557101</v>
      </c>
      <c r="E31" s="451">
        <v>0.188152967171484</v>
      </c>
      <c r="F31" s="451">
        <v>6.2906519672550301E-2</v>
      </c>
      <c r="G31" s="452">
        <v>1.05270113340895</v>
      </c>
      <c r="H31" s="451">
        <v>5.6857387672521999E-2</v>
      </c>
      <c r="I31" s="453">
        <v>1.1161632606240799</v>
      </c>
      <c r="J31" s="452">
        <v>0.50307613144155305</v>
      </c>
      <c r="K31" s="451">
        <v>0.449375866701406</v>
      </c>
      <c r="L31" s="454">
        <v>0.25372538724431798</v>
      </c>
      <c r="M31" s="452">
        <v>0.96066030351745002</v>
      </c>
      <c r="N31" s="452">
        <v>1.07092152927675</v>
      </c>
      <c r="O31" s="452">
        <v>0.86</v>
      </c>
      <c r="P31" s="452">
        <v>1.0510172676479499</v>
      </c>
      <c r="Q31" s="452">
        <v>1.01175247221325</v>
      </c>
      <c r="S31" s="455">
        <f t="shared" si="0"/>
        <v>0.94314261232747765</v>
      </c>
      <c r="T31" s="456">
        <f t="shared" si="1"/>
        <v>1.1161632606240799</v>
      </c>
      <c r="V31" s="456"/>
      <c r="W31" s="457"/>
      <c r="X31" s="457"/>
    </row>
    <row r="32" spans="2:24">
      <c r="B32" s="448" t="s">
        <v>562</v>
      </c>
      <c r="C32" s="449">
        <v>43</v>
      </c>
      <c r="D32" s="450">
        <v>1.1967640138319899</v>
      </c>
      <c r="E32" s="451">
        <v>0.31592165978036701</v>
      </c>
      <c r="F32" s="451">
        <v>0.132961567310283</v>
      </c>
      <c r="G32" s="452">
        <v>0.96751888485322901</v>
      </c>
      <c r="H32" s="451">
        <v>4.9237983688661599E-2</v>
      </c>
      <c r="I32" s="453">
        <v>1.0176246718468001</v>
      </c>
      <c r="J32" s="452">
        <v>0.42193835857454398</v>
      </c>
      <c r="K32" s="451">
        <v>0.351668481439537</v>
      </c>
      <c r="L32" s="454">
        <v>0.151953997738875</v>
      </c>
      <c r="M32" s="452">
        <v>0.81015878396309304</v>
      </c>
      <c r="N32" s="452">
        <v>1.3250378765861499</v>
      </c>
      <c r="O32" s="452">
        <v>0.95</v>
      </c>
      <c r="P32" s="452">
        <v>0.97396252486347101</v>
      </c>
      <c r="Q32" s="452">
        <v>1.0153567714519001</v>
      </c>
      <c r="S32" s="455">
        <f t="shared" si="0"/>
        <v>0.95076201631133972</v>
      </c>
      <c r="T32" s="456">
        <f t="shared" si="1"/>
        <v>1.0176246718468001</v>
      </c>
      <c r="V32" s="456"/>
      <c r="W32" s="457"/>
      <c r="X32" s="457"/>
    </row>
    <row r="33" spans="2:24">
      <c r="B33" s="448" t="s">
        <v>563</v>
      </c>
      <c r="C33" s="449">
        <v>110</v>
      </c>
      <c r="D33" s="450">
        <v>1.4497950169593801</v>
      </c>
      <c r="E33" s="451">
        <v>0.33280500111802502</v>
      </c>
      <c r="F33" s="451">
        <v>3.4485773715445603E-2</v>
      </c>
      <c r="G33" s="452">
        <v>1.1602037973929999</v>
      </c>
      <c r="H33" s="451">
        <v>6.9023482536863703E-2</v>
      </c>
      <c r="I33" s="453">
        <v>1.2462224080092701</v>
      </c>
      <c r="J33" s="452">
        <v>0.68827444182709896</v>
      </c>
      <c r="K33" s="451">
        <v>0.578095571351251</v>
      </c>
      <c r="L33" s="454">
        <v>0.25732913893489401</v>
      </c>
      <c r="M33" s="452">
        <v>1.21401243341358</v>
      </c>
      <c r="N33" s="452">
        <v>1.2017030374551601</v>
      </c>
      <c r="O33" s="452">
        <v>0.84</v>
      </c>
      <c r="P33" s="452">
        <v>0.96424847628751698</v>
      </c>
      <c r="Q33" s="452">
        <v>1.09323727103311</v>
      </c>
      <c r="S33" s="455">
        <f t="shared" si="0"/>
        <v>0.93097651746314103</v>
      </c>
      <c r="T33" s="456">
        <f t="shared" si="1"/>
        <v>1.2462224080092701</v>
      </c>
      <c r="V33" s="456"/>
      <c r="W33" s="457"/>
      <c r="X33" s="457"/>
    </row>
    <row r="34" spans="2:24">
      <c r="B34" s="448" t="s">
        <v>564</v>
      </c>
      <c r="C34" s="449">
        <v>62</v>
      </c>
      <c r="D34" s="450">
        <v>1.0153454106827</v>
      </c>
      <c r="E34" s="451">
        <v>0.25536486314909501</v>
      </c>
      <c r="F34" s="451">
        <v>5.4211005912351701E-2</v>
      </c>
      <c r="G34" s="452">
        <v>0.85214037751646299</v>
      </c>
      <c r="H34" s="451">
        <v>8.1137078092717394E-3</v>
      </c>
      <c r="I34" s="453">
        <v>0.85911095276292704</v>
      </c>
      <c r="J34" s="452">
        <v>0.61566156782923698</v>
      </c>
      <c r="K34" s="451">
        <v>0.48087346767746197</v>
      </c>
      <c r="L34" s="454">
        <v>0.13314926778396</v>
      </c>
      <c r="M34" s="452">
        <v>0.96017519579922395</v>
      </c>
      <c r="N34" s="452">
        <v>1.0485101305295501</v>
      </c>
      <c r="O34" s="452">
        <v>0.82</v>
      </c>
      <c r="P34" s="452">
        <v>1.0861829799643701</v>
      </c>
      <c r="Q34" s="452">
        <v>0.95479585181121496</v>
      </c>
      <c r="S34" s="455">
        <f t="shared" si="0"/>
        <v>0.99188629219072755</v>
      </c>
      <c r="T34" s="456">
        <f t="shared" si="1"/>
        <v>0.85911095276292704</v>
      </c>
      <c r="V34" s="456"/>
      <c r="W34" s="457"/>
      <c r="X34" s="457"/>
    </row>
    <row r="35" spans="2:24">
      <c r="B35" s="448" t="s">
        <v>565</v>
      </c>
      <c r="C35" s="449">
        <v>39</v>
      </c>
      <c r="D35" s="450">
        <v>1.14031357616757</v>
      </c>
      <c r="E35" s="451">
        <v>0.33866680168767299</v>
      </c>
      <c r="F35" s="451">
        <v>6.6354615342110804E-2</v>
      </c>
      <c r="G35" s="452">
        <v>0.90934089639751203</v>
      </c>
      <c r="H35" s="451">
        <v>2.3316489175642E-2</v>
      </c>
      <c r="I35" s="453">
        <v>0.93104970680829202</v>
      </c>
      <c r="J35" s="452">
        <v>0.58902891744351804</v>
      </c>
      <c r="K35" s="451">
        <v>0.54426709586173705</v>
      </c>
      <c r="L35" s="454">
        <v>0.260899873109254</v>
      </c>
      <c r="M35" s="452">
        <v>0.495878066444225</v>
      </c>
      <c r="N35" s="452">
        <v>0.62745114806840796</v>
      </c>
      <c r="O35" s="452">
        <v>0.68</v>
      </c>
      <c r="P35" s="452">
        <v>0.84786520692470602</v>
      </c>
      <c r="Q35" s="452">
        <v>0.71644882564912604</v>
      </c>
      <c r="S35" s="455">
        <f t="shared" ref="S35:S66" si="2">G35/I35</f>
        <v>0.97668351082435823</v>
      </c>
      <c r="T35" s="456">
        <f t="shared" ref="T35:T66" si="3">G35/S35</f>
        <v>0.93104970680829202</v>
      </c>
      <c r="V35" s="456"/>
      <c r="W35" s="457"/>
      <c r="X35" s="457"/>
    </row>
    <row r="36" spans="2:24">
      <c r="B36" s="448" t="s">
        <v>566</v>
      </c>
      <c r="C36" s="449">
        <v>223</v>
      </c>
      <c r="D36" s="450">
        <v>0.88572507363771502</v>
      </c>
      <c r="E36" s="451">
        <v>10.0439633539934</v>
      </c>
      <c r="F36" s="451">
        <v>0.14608585547831099</v>
      </c>
      <c r="G36" s="452">
        <v>0.10380029609017601</v>
      </c>
      <c r="H36" s="451">
        <v>2.23635951229793E-2</v>
      </c>
      <c r="I36" s="453">
        <v>0.106174745101921</v>
      </c>
      <c r="J36" s="452">
        <v>0.33784250120258302</v>
      </c>
      <c r="K36" s="451">
        <v>0.27145306503706801</v>
      </c>
      <c r="L36" s="454">
        <v>0.61670379122051699</v>
      </c>
      <c r="M36" s="452">
        <v>7.5615335031345293E-2</v>
      </c>
      <c r="N36" s="452">
        <v>9.8263137853987506E-2</v>
      </c>
      <c r="O36" s="452">
        <v>0.11</v>
      </c>
      <c r="P36" s="452">
        <v>0.151758747156021</v>
      </c>
      <c r="Q36" s="452">
        <v>0.108362393028655</v>
      </c>
      <c r="S36" s="455">
        <f t="shared" si="2"/>
        <v>0.97763640487701975</v>
      </c>
      <c r="T36" s="456">
        <f t="shared" si="3"/>
        <v>0.106174745101921</v>
      </c>
      <c r="V36" s="456"/>
      <c r="W36" s="457"/>
      <c r="X36" s="457"/>
    </row>
    <row r="37" spans="2:24">
      <c r="B37" s="448" t="s">
        <v>567</v>
      </c>
      <c r="C37" s="449">
        <v>92</v>
      </c>
      <c r="D37" s="450">
        <v>0.91752023311739594</v>
      </c>
      <c r="E37" s="451">
        <v>0.28857870023568</v>
      </c>
      <c r="F37" s="451">
        <v>7.7369309042831402E-2</v>
      </c>
      <c r="G37" s="452">
        <v>0.75427044469926896</v>
      </c>
      <c r="H37" s="451">
        <v>1.87364939663376E-2</v>
      </c>
      <c r="I37" s="453">
        <v>0.76867267564864805</v>
      </c>
      <c r="J37" s="452">
        <v>0.48660886685275501</v>
      </c>
      <c r="K37" s="451">
        <v>0.342287834154332</v>
      </c>
      <c r="L37" s="454">
        <v>0.16971271691317599</v>
      </c>
      <c r="M37" s="452">
        <v>0.61142199192503799</v>
      </c>
      <c r="N37" s="452">
        <v>0.69680824795297402</v>
      </c>
      <c r="O37" s="452">
        <v>0.53</v>
      </c>
      <c r="P37" s="452">
        <v>0.63241384575053905</v>
      </c>
      <c r="Q37" s="452">
        <v>0.64786335225544001</v>
      </c>
      <c r="S37" s="455">
        <f t="shared" si="2"/>
        <v>0.98126350603366286</v>
      </c>
      <c r="T37" s="456">
        <f t="shared" si="3"/>
        <v>0.76867267564864805</v>
      </c>
      <c r="V37" s="456"/>
      <c r="W37" s="457"/>
      <c r="X37" s="457"/>
    </row>
    <row r="38" spans="2:24">
      <c r="B38" s="448" t="s">
        <v>568</v>
      </c>
      <c r="C38" s="449">
        <v>14</v>
      </c>
      <c r="D38" s="450">
        <v>1.1237058272854099</v>
      </c>
      <c r="E38" s="451">
        <v>0.46156458973105202</v>
      </c>
      <c r="F38" s="451">
        <v>0.119372552819759</v>
      </c>
      <c r="G38" s="452">
        <v>0.83474074883466098</v>
      </c>
      <c r="H38" s="451">
        <v>1.2964298755207999E-2</v>
      </c>
      <c r="I38" s="453">
        <v>0.84570471745037601</v>
      </c>
      <c r="J38" s="452">
        <v>0.47929314717046601</v>
      </c>
      <c r="K38" s="451">
        <v>0.32418308733551499</v>
      </c>
      <c r="L38" s="454">
        <v>0.25632423585379199</v>
      </c>
      <c r="M38" s="452">
        <v>1.23442963513568</v>
      </c>
      <c r="N38" s="452">
        <v>0.657766173291367</v>
      </c>
      <c r="O38" s="452">
        <v>0.8</v>
      </c>
      <c r="P38" s="452">
        <v>1.0834752105711301</v>
      </c>
      <c r="Q38" s="452">
        <v>0.92427514728971105</v>
      </c>
      <c r="S38" s="455">
        <f t="shared" si="2"/>
        <v>0.98703570124479245</v>
      </c>
      <c r="T38" s="456">
        <f t="shared" si="3"/>
        <v>0.84570471745037601</v>
      </c>
      <c r="V38" s="456"/>
      <c r="W38" s="457"/>
      <c r="X38" s="457"/>
    </row>
    <row r="39" spans="2:24">
      <c r="B39" s="448" t="s">
        <v>569</v>
      </c>
      <c r="C39" s="449">
        <v>32</v>
      </c>
      <c r="D39" s="450">
        <v>1.2708955631990999</v>
      </c>
      <c r="E39" s="451">
        <v>0.55936201185575496</v>
      </c>
      <c r="F39" s="451">
        <v>0.126722240182531</v>
      </c>
      <c r="G39" s="452">
        <v>0.89529856028124599</v>
      </c>
      <c r="H39" s="451">
        <v>5.9473625852007897E-2</v>
      </c>
      <c r="I39" s="453">
        <v>0.95191223222451604</v>
      </c>
      <c r="J39" s="452">
        <v>0.54836004530607496</v>
      </c>
      <c r="K39" s="451">
        <v>0.41911842205905803</v>
      </c>
      <c r="L39" s="454">
        <v>0.249121948829576</v>
      </c>
      <c r="M39" s="452">
        <v>0.66780864677192198</v>
      </c>
      <c r="N39" s="452">
        <v>0.81832731033239103</v>
      </c>
      <c r="O39" s="452">
        <v>0.78</v>
      </c>
      <c r="P39" s="452">
        <v>0.99306863955366698</v>
      </c>
      <c r="Q39" s="452">
        <v>0.84222336577649903</v>
      </c>
      <c r="S39" s="455">
        <f t="shared" si="2"/>
        <v>0.94052637414799256</v>
      </c>
      <c r="T39" s="456">
        <f t="shared" si="3"/>
        <v>0.95191223222451604</v>
      </c>
      <c r="V39" s="456"/>
      <c r="W39" s="457"/>
      <c r="X39" s="457"/>
    </row>
    <row r="40" spans="2:24">
      <c r="B40" s="448" t="s">
        <v>570</v>
      </c>
      <c r="C40" s="449">
        <v>19</v>
      </c>
      <c r="D40" s="450">
        <v>1.60070111091836</v>
      </c>
      <c r="E40" s="451">
        <v>1.21116403478492</v>
      </c>
      <c r="F40" s="451">
        <v>6.72792297376162E-2</v>
      </c>
      <c r="G40" s="452">
        <v>0.83877789563976402</v>
      </c>
      <c r="H40" s="451">
        <v>4.3792475234029897E-2</v>
      </c>
      <c r="I40" s="453">
        <v>0.87719231852421697</v>
      </c>
      <c r="J40" s="452">
        <v>0.67706030467577905</v>
      </c>
      <c r="K40" s="451">
        <v>0.67598359199996305</v>
      </c>
      <c r="L40" s="454">
        <v>0.62821896028330604</v>
      </c>
      <c r="M40" s="452">
        <v>0.79876309391982103</v>
      </c>
      <c r="N40" s="452">
        <v>0.59377295201994196</v>
      </c>
      <c r="O40" s="452">
        <v>0.68</v>
      </c>
      <c r="P40" s="452">
        <v>1.0952567764169101</v>
      </c>
      <c r="Q40" s="452">
        <v>0.80899702817617802</v>
      </c>
      <c r="S40" s="455">
        <f t="shared" si="2"/>
        <v>0.95620752476597015</v>
      </c>
      <c r="T40" s="456">
        <f t="shared" si="3"/>
        <v>0.87719231852421697</v>
      </c>
      <c r="V40" s="456"/>
      <c r="W40" s="457"/>
      <c r="X40" s="457"/>
    </row>
    <row r="41" spans="2:24">
      <c r="B41" s="448" t="s">
        <v>571</v>
      </c>
      <c r="C41" s="449">
        <v>254</v>
      </c>
      <c r="D41" s="450">
        <v>1.1623831948690999</v>
      </c>
      <c r="E41" s="451">
        <v>0.126028067241232</v>
      </c>
      <c r="F41" s="451">
        <v>3.6967519289018702E-2</v>
      </c>
      <c r="G41" s="452">
        <v>1.06200168047152</v>
      </c>
      <c r="H41" s="451">
        <v>3.1994527781721203E-2</v>
      </c>
      <c r="I41" s="453">
        <v>1.0971029719882099</v>
      </c>
      <c r="J41" s="452">
        <v>0.59385542680084002</v>
      </c>
      <c r="K41" s="451">
        <v>0.5094012253761</v>
      </c>
      <c r="L41" s="454">
        <v>0.30097979999874003</v>
      </c>
      <c r="M41" s="452">
        <v>1.0412420580286901</v>
      </c>
      <c r="N41" s="452">
        <v>0.98181868386863302</v>
      </c>
      <c r="O41" s="452">
        <v>0.8</v>
      </c>
      <c r="P41" s="452">
        <v>0.91238001884570197</v>
      </c>
      <c r="Q41" s="452">
        <v>0.96650874654624697</v>
      </c>
      <c r="S41" s="455">
        <f t="shared" si="2"/>
        <v>0.96800547221827493</v>
      </c>
      <c r="T41" s="456">
        <f t="shared" si="3"/>
        <v>1.0971029719882099</v>
      </c>
      <c r="V41" s="456"/>
      <c r="W41" s="457"/>
      <c r="X41" s="457"/>
    </row>
    <row r="42" spans="2:24">
      <c r="B42" s="448" t="s">
        <v>572</v>
      </c>
      <c r="C42" s="449">
        <v>131</v>
      </c>
      <c r="D42" s="450">
        <v>1.16036527605929</v>
      </c>
      <c r="E42" s="451">
        <v>0.236054383364283</v>
      </c>
      <c r="F42" s="451">
        <v>6.7422782748656901E-2</v>
      </c>
      <c r="G42" s="452">
        <v>0.98583268172124205</v>
      </c>
      <c r="H42" s="451">
        <v>8.0849129295955599E-2</v>
      </c>
      <c r="I42" s="453">
        <v>1.07254718799986</v>
      </c>
      <c r="J42" s="452">
        <v>0.56359840316908205</v>
      </c>
      <c r="K42" s="451">
        <v>0.47792508451312199</v>
      </c>
      <c r="L42" s="454">
        <v>0.27585814850670098</v>
      </c>
      <c r="M42" s="452">
        <v>1.02665073700557</v>
      </c>
      <c r="N42" s="452">
        <v>0.94623821494528304</v>
      </c>
      <c r="O42" s="452">
        <v>0.74</v>
      </c>
      <c r="P42" s="452">
        <v>0.94984695077290304</v>
      </c>
      <c r="Q42" s="452">
        <v>0.94705661814472197</v>
      </c>
      <c r="S42" s="455">
        <f t="shared" si="2"/>
        <v>0.919150870704041</v>
      </c>
      <c r="T42" s="456">
        <f t="shared" si="3"/>
        <v>1.07254718799986</v>
      </c>
      <c r="V42" s="456"/>
      <c r="W42" s="457"/>
      <c r="X42" s="457"/>
    </row>
    <row r="43" spans="2:24">
      <c r="B43" s="448" t="s">
        <v>573</v>
      </c>
      <c r="C43" s="449">
        <v>138</v>
      </c>
      <c r="D43" s="450">
        <v>1.4715094541215401</v>
      </c>
      <c r="E43" s="451">
        <v>0.14208144140427501</v>
      </c>
      <c r="F43" s="451">
        <v>4.3049399481158698E-2</v>
      </c>
      <c r="G43" s="452">
        <v>1.3298040924419501</v>
      </c>
      <c r="H43" s="451">
        <v>2.98613954590204E-2</v>
      </c>
      <c r="I43" s="453">
        <v>1.37073618781632</v>
      </c>
      <c r="J43" s="452">
        <v>0.61728792200791305</v>
      </c>
      <c r="K43" s="451">
        <v>0.53871737622490601</v>
      </c>
      <c r="L43" s="454">
        <v>0.48966291900694903</v>
      </c>
      <c r="M43" s="452">
        <v>1.17707344434912</v>
      </c>
      <c r="N43" s="452">
        <v>1.1526973517866099</v>
      </c>
      <c r="O43" s="452">
        <v>0.75</v>
      </c>
      <c r="P43" s="452">
        <v>0.90888830288841305</v>
      </c>
      <c r="Q43" s="452">
        <v>1.0718790573680901</v>
      </c>
      <c r="S43" s="455">
        <f t="shared" si="2"/>
        <v>0.970138604540982</v>
      </c>
      <c r="T43" s="456">
        <f t="shared" si="3"/>
        <v>1.37073618781632</v>
      </c>
      <c r="V43" s="456"/>
      <c r="W43" s="457"/>
      <c r="X43" s="457"/>
    </row>
    <row r="44" spans="2:24">
      <c r="B44" s="448" t="s">
        <v>574</v>
      </c>
      <c r="C44" s="449">
        <v>32</v>
      </c>
      <c r="D44" s="450">
        <v>1.5022071383659299</v>
      </c>
      <c r="E44" s="451">
        <v>0.32335735016651301</v>
      </c>
      <c r="F44" s="451">
        <v>0.178146399124536</v>
      </c>
      <c r="G44" s="452">
        <v>1.2090023026647601</v>
      </c>
      <c r="H44" s="451">
        <v>9.3127543900187501E-2</v>
      </c>
      <c r="I44" s="453">
        <v>1.33315583082578</v>
      </c>
      <c r="J44" s="452">
        <v>0.412720832469122</v>
      </c>
      <c r="K44" s="451">
        <v>0.33330387129630201</v>
      </c>
      <c r="L44" s="454">
        <v>0.70576218876640096</v>
      </c>
      <c r="M44" s="452">
        <v>0.724614916586789</v>
      </c>
      <c r="N44" s="452">
        <v>0.66405583898276999</v>
      </c>
      <c r="O44" s="452">
        <v>1.33</v>
      </c>
      <c r="P44" s="452">
        <v>1.5855573182596401</v>
      </c>
      <c r="Q44" s="452">
        <v>1.127476780931</v>
      </c>
      <c r="S44" s="455">
        <f t="shared" si="2"/>
        <v>0.9068724560998116</v>
      </c>
      <c r="T44" s="456">
        <f t="shared" si="3"/>
        <v>1.33315583082578</v>
      </c>
      <c r="V44" s="456"/>
      <c r="W44" s="457"/>
      <c r="X44" s="457"/>
    </row>
    <row r="45" spans="2:24">
      <c r="B45" s="448" t="s">
        <v>575</v>
      </c>
      <c r="C45" s="449">
        <v>34</v>
      </c>
      <c r="D45" s="450">
        <v>1.1740014449538001</v>
      </c>
      <c r="E45" s="451">
        <v>0.872374259802009</v>
      </c>
      <c r="F45" s="451">
        <v>9.5570196097802304E-2</v>
      </c>
      <c r="G45" s="452">
        <v>0.70967487477038205</v>
      </c>
      <c r="H45" s="451">
        <v>1.85382125873188E-2</v>
      </c>
      <c r="I45" s="453">
        <v>0.72307947581048304</v>
      </c>
      <c r="J45" s="452">
        <v>0.60279093296241704</v>
      </c>
      <c r="K45" s="451">
        <v>0.51194423265024802</v>
      </c>
      <c r="L45" s="454">
        <v>0.18609860515663601</v>
      </c>
      <c r="M45" s="452">
        <v>0.55219511182946601</v>
      </c>
      <c r="N45" s="452">
        <v>0.625562389759862</v>
      </c>
      <c r="O45" s="452">
        <v>0.8</v>
      </c>
      <c r="P45" s="452">
        <v>0.96358199839482295</v>
      </c>
      <c r="Q45" s="452">
        <v>0.73288379515892699</v>
      </c>
      <c r="S45" s="455">
        <f t="shared" si="2"/>
        <v>0.98146178741268231</v>
      </c>
      <c r="T45" s="456">
        <f t="shared" si="3"/>
        <v>0.72307947581048304</v>
      </c>
      <c r="V45" s="456"/>
      <c r="W45" s="457"/>
      <c r="X45" s="457"/>
    </row>
    <row r="46" spans="2:24">
      <c r="B46" s="448" t="s">
        <v>576</v>
      </c>
      <c r="C46" s="449">
        <v>69</v>
      </c>
      <c r="D46" s="450">
        <v>1.4599765370156601</v>
      </c>
      <c r="E46" s="451">
        <v>0.66577209240563995</v>
      </c>
      <c r="F46" s="451">
        <v>8.1424228660483197E-2</v>
      </c>
      <c r="G46" s="452">
        <v>0.97375323863571095</v>
      </c>
      <c r="H46" s="451">
        <v>8.2200350685883702E-2</v>
      </c>
      <c r="I46" s="453">
        <v>1.06096492776328</v>
      </c>
      <c r="J46" s="452">
        <v>0.484995668786525</v>
      </c>
      <c r="K46" s="451">
        <v>0.38051359185436201</v>
      </c>
      <c r="L46" s="454">
        <v>1.0024098795355401</v>
      </c>
      <c r="M46" s="452">
        <v>0.711711946517671</v>
      </c>
      <c r="N46" s="452">
        <v>0.914444623642515</v>
      </c>
      <c r="O46" s="452">
        <v>1.19</v>
      </c>
      <c r="P46" s="452">
        <v>1.4374337278435301</v>
      </c>
      <c r="Q46" s="452">
        <v>1.0629110451534001</v>
      </c>
      <c r="S46" s="455">
        <f t="shared" si="2"/>
        <v>0.9177996493141124</v>
      </c>
      <c r="T46" s="456">
        <f t="shared" si="3"/>
        <v>1.06096492776328</v>
      </c>
      <c r="V46" s="456"/>
      <c r="W46" s="457"/>
      <c r="X46" s="457"/>
    </row>
    <row r="47" spans="2:24">
      <c r="B47" s="448" t="s">
        <v>577</v>
      </c>
      <c r="C47" s="449">
        <v>127</v>
      </c>
      <c r="D47" s="450">
        <v>1.1550009836175199</v>
      </c>
      <c r="E47" s="451">
        <v>0.15523975953805</v>
      </c>
      <c r="F47" s="451">
        <v>6.7270246303556394E-2</v>
      </c>
      <c r="G47" s="452">
        <v>1.03454866869818</v>
      </c>
      <c r="H47" s="451">
        <v>2.2054657954777599E-2</v>
      </c>
      <c r="I47" s="453">
        <v>1.0578798468783399</v>
      </c>
      <c r="J47" s="452">
        <v>0.65765860091096795</v>
      </c>
      <c r="K47" s="451">
        <v>0.56827524943110697</v>
      </c>
      <c r="L47" s="454">
        <v>6.9188305864359298E-2</v>
      </c>
      <c r="M47" s="452">
        <v>0.99725066748303404</v>
      </c>
      <c r="N47" s="452">
        <v>0.93705724489488995</v>
      </c>
      <c r="O47" s="452">
        <v>0.68</v>
      </c>
      <c r="P47" s="452">
        <v>0.92007174691688998</v>
      </c>
      <c r="Q47" s="452">
        <v>0.91845190123463005</v>
      </c>
      <c r="S47" s="455">
        <f t="shared" si="2"/>
        <v>0.9779453420452171</v>
      </c>
      <c r="T47" s="456">
        <f t="shared" si="3"/>
        <v>1.0578798468783399</v>
      </c>
      <c r="V47" s="456"/>
      <c r="W47" s="457"/>
      <c r="X47" s="457"/>
    </row>
    <row r="48" spans="2:24">
      <c r="B48" s="448" t="s">
        <v>578</v>
      </c>
      <c r="C48" s="449">
        <v>73</v>
      </c>
      <c r="D48" s="450">
        <v>1.4047128789332599</v>
      </c>
      <c r="E48" s="451">
        <v>0.13058755319286</v>
      </c>
      <c r="F48" s="451">
        <v>0.12449529547899001</v>
      </c>
      <c r="G48" s="452">
        <v>1.2794069150067</v>
      </c>
      <c r="H48" s="451">
        <v>4.0524175559670798E-2</v>
      </c>
      <c r="I48" s="453">
        <v>1.33344361829334</v>
      </c>
      <c r="J48" s="452">
        <v>0.47681215121694198</v>
      </c>
      <c r="K48" s="451">
        <v>0.45109370580495101</v>
      </c>
      <c r="L48" s="454">
        <v>0.28354505654344497</v>
      </c>
      <c r="M48" s="452">
        <v>1.0476147604347601</v>
      </c>
      <c r="N48" s="452">
        <v>1.0315158970762199</v>
      </c>
      <c r="O48" s="452">
        <v>0.97</v>
      </c>
      <c r="P48" s="452">
        <v>1.2038667851126399</v>
      </c>
      <c r="Q48" s="452">
        <v>1.11728821218339</v>
      </c>
      <c r="S48" s="455">
        <f t="shared" si="2"/>
        <v>0.95947582444033064</v>
      </c>
      <c r="T48" s="456">
        <f t="shared" si="3"/>
        <v>1.33344361829334</v>
      </c>
      <c r="V48" s="456"/>
      <c r="W48" s="457"/>
      <c r="X48" s="457"/>
    </row>
    <row r="49" spans="2:24">
      <c r="B49" s="448" t="s">
        <v>579</v>
      </c>
      <c r="C49" s="449">
        <v>21</v>
      </c>
      <c r="D49" s="450">
        <v>1.2277613538599399</v>
      </c>
      <c r="E49" s="451">
        <v>0.30488971397762499</v>
      </c>
      <c r="F49" s="451">
        <v>0.102638866997324</v>
      </c>
      <c r="G49" s="452">
        <v>0.99926267132365298</v>
      </c>
      <c r="H49" s="451">
        <v>2.6949929115194501E-2</v>
      </c>
      <c r="I49" s="453">
        <v>1.0269385936275699</v>
      </c>
      <c r="J49" s="452">
        <v>0.45212247290893298</v>
      </c>
      <c r="K49" s="451">
        <v>0.43761028506670002</v>
      </c>
      <c r="L49" s="454">
        <v>0.37989752214453598</v>
      </c>
      <c r="M49" s="452">
        <v>0.67179161955338695</v>
      </c>
      <c r="N49" s="452">
        <v>0.59269928391842097</v>
      </c>
      <c r="O49" s="452">
        <v>0.56000000000000005</v>
      </c>
      <c r="P49" s="452">
        <v>0.81090913333958803</v>
      </c>
      <c r="Q49" s="452">
        <v>0.73246772608779398</v>
      </c>
      <c r="S49" s="455">
        <f t="shared" si="2"/>
        <v>0.97305007088480899</v>
      </c>
      <c r="T49" s="456">
        <f t="shared" si="3"/>
        <v>1.0269385936275699</v>
      </c>
      <c r="V49" s="456"/>
      <c r="W49" s="457"/>
      <c r="X49" s="457"/>
    </row>
    <row r="50" spans="2:24">
      <c r="B50" s="448" t="s">
        <v>580</v>
      </c>
      <c r="C50" s="449">
        <v>27</v>
      </c>
      <c r="D50" s="450">
        <v>0.93935366031437895</v>
      </c>
      <c r="E50" s="451">
        <v>0.92403206740116295</v>
      </c>
      <c r="F50" s="451">
        <v>0.11407564986678601</v>
      </c>
      <c r="G50" s="452">
        <v>0.55483775319596595</v>
      </c>
      <c r="H50" s="451">
        <v>0.16873839578331901</v>
      </c>
      <c r="I50" s="453">
        <v>0.66746467102712304</v>
      </c>
      <c r="J50" s="452">
        <v>0.377378136269024</v>
      </c>
      <c r="K50" s="451">
        <v>0.28891454530535299</v>
      </c>
      <c r="L50" s="454">
        <v>0.19531559316980901</v>
      </c>
      <c r="M50" s="452">
        <v>0.70335628063826405</v>
      </c>
      <c r="N50" s="452">
        <v>0.73248057437703396</v>
      </c>
      <c r="O50" s="452">
        <v>0.64</v>
      </c>
      <c r="P50" s="452">
        <v>0.88298820325433802</v>
      </c>
      <c r="Q50" s="452">
        <v>0.72525794585935199</v>
      </c>
      <c r="S50" s="455">
        <f t="shared" si="2"/>
        <v>0.8312616042166816</v>
      </c>
      <c r="T50" s="456">
        <f t="shared" si="3"/>
        <v>0.66746467102712304</v>
      </c>
      <c r="V50" s="456"/>
      <c r="W50" s="457"/>
      <c r="X50" s="457"/>
    </row>
    <row r="51" spans="2:24">
      <c r="B51" s="448" t="s">
        <v>581</v>
      </c>
      <c r="C51" s="449">
        <v>51</v>
      </c>
      <c r="D51" s="450">
        <v>0.803301362824696</v>
      </c>
      <c r="E51" s="451">
        <v>0.214659486708875</v>
      </c>
      <c r="F51" s="451">
        <v>0.109240658776035</v>
      </c>
      <c r="G51" s="452">
        <v>0.691907914493464</v>
      </c>
      <c r="H51" s="451">
        <v>5.1581418326943199E-2</v>
      </c>
      <c r="I51" s="453">
        <v>0.72953854749756697</v>
      </c>
      <c r="J51" s="452">
        <v>0.35270918786226901</v>
      </c>
      <c r="K51" s="451">
        <v>0.276671833072616</v>
      </c>
      <c r="L51" s="454">
        <v>0.25431028874335798</v>
      </c>
      <c r="M51" s="452">
        <v>0.65115065979406594</v>
      </c>
      <c r="N51" s="452">
        <v>0.589071524748496</v>
      </c>
      <c r="O51" s="452">
        <v>0.57999999999999996</v>
      </c>
      <c r="P51" s="452">
        <v>0.78477726596517905</v>
      </c>
      <c r="Q51" s="452">
        <v>0.66690759960106205</v>
      </c>
      <c r="S51" s="455">
        <f t="shared" si="2"/>
        <v>0.94841858167305615</v>
      </c>
      <c r="T51" s="456">
        <f t="shared" si="3"/>
        <v>0.72953854749756697</v>
      </c>
      <c r="V51" s="456"/>
      <c r="W51" s="457"/>
      <c r="X51" s="457"/>
    </row>
    <row r="52" spans="2:24">
      <c r="B52" s="448" t="s">
        <v>582</v>
      </c>
      <c r="C52" s="449">
        <v>600</v>
      </c>
      <c r="D52" s="450">
        <v>0.62361295447909604</v>
      </c>
      <c r="E52" s="451">
        <v>0.38346905996267899</v>
      </c>
      <c r="F52" s="451">
        <v>4.0125418223956003E-2</v>
      </c>
      <c r="G52" s="452">
        <v>0.48432128388936602</v>
      </c>
      <c r="H52" s="451">
        <v>9.93612196553713E-2</v>
      </c>
      <c r="I52" s="453">
        <v>0.53775308643054598</v>
      </c>
      <c r="J52" s="452">
        <v>0.14993616815022501</v>
      </c>
      <c r="K52" s="451">
        <v>9.9064267399825601E-2</v>
      </c>
      <c r="L52" s="454">
        <v>0.26121287090127898</v>
      </c>
      <c r="M52" s="452">
        <v>0.86668447411796701</v>
      </c>
      <c r="N52" s="452">
        <v>0.86018284014412305</v>
      </c>
      <c r="O52" s="452">
        <v>0.78</v>
      </c>
      <c r="P52" s="452">
        <v>0.96511760490949705</v>
      </c>
      <c r="Q52" s="452">
        <v>0.80194760112042696</v>
      </c>
      <c r="S52" s="455">
        <f t="shared" si="2"/>
        <v>0.90063878034462752</v>
      </c>
      <c r="T52" s="456">
        <f t="shared" si="3"/>
        <v>0.53775308643054598</v>
      </c>
      <c r="V52" s="456"/>
      <c r="W52" s="457"/>
      <c r="X52" s="457"/>
    </row>
    <row r="53" spans="2:24">
      <c r="B53" s="458" t="s">
        <v>583</v>
      </c>
      <c r="C53" s="459">
        <v>116</v>
      </c>
      <c r="D53" s="460">
        <v>1.2248168994320401</v>
      </c>
      <c r="E53" s="461">
        <v>0.20842493500466</v>
      </c>
      <c r="F53" s="461">
        <v>0.103665823151025</v>
      </c>
      <c r="G53" s="462">
        <v>1.0592381651393299</v>
      </c>
      <c r="H53" s="461">
        <v>3.1620151885439603E-2</v>
      </c>
      <c r="I53" s="462">
        <v>1.09382508031499</v>
      </c>
      <c r="J53" s="462">
        <v>0.42240656630421403</v>
      </c>
      <c r="K53" s="461">
        <v>0.32362033573649202</v>
      </c>
      <c r="L53" s="463">
        <v>0.16912160618518399</v>
      </c>
      <c r="M53" s="462">
        <v>1.01216530535465</v>
      </c>
      <c r="N53" s="462">
        <v>1.0985210616277301</v>
      </c>
      <c r="O53" s="462">
        <v>0.96</v>
      </c>
      <c r="P53" s="462">
        <v>1.17826429676935</v>
      </c>
      <c r="Q53" s="462">
        <v>1.06855514881335</v>
      </c>
      <c r="S53" s="455">
        <f t="shared" si="2"/>
        <v>0.96837984811456312</v>
      </c>
      <c r="T53" s="456">
        <f t="shared" si="3"/>
        <v>1.09382508031499</v>
      </c>
      <c r="V53" s="456"/>
      <c r="W53" s="457"/>
      <c r="X53" s="457"/>
    </row>
    <row r="54" spans="2:24">
      <c r="B54" s="448" t="s">
        <v>584</v>
      </c>
      <c r="C54" s="449">
        <v>68</v>
      </c>
      <c r="D54" s="450">
        <v>1.2900534643158801</v>
      </c>
      <c r="E54" s="451">
        <v>0.215449310894302</v>
      </c>
      <c r="F54" s="451">
        <v>4.1470687221803602E-2</v>
      </c>
      <c r="G54" s="452">
        <v>1.11059566180269</v>
      </c>
      <c r="H54" s="451">
        <v>8.9071410334220294E-2</v>
      </c>
      <c r="I54" s="453">
        <v>1.2191906966167001</v>
      </c>
      <c r="J54" s="452">
        <v>0.66580496759506902</v>
      </c>
      <c r="K54" s="451">
        <v>0.70056239501193895</v>
      </c>
      <c r="L54" s="454">
        <v>0.52711340299834897</v>
      </c>
      <c r="M54" s="452">
        <v>1.10944227016938</v>
      </c>
      <c r="N54" s="452">
        <v>1.0865722025981499</v>
      </c>
      <c r="O54" s="452">
        <v>0.82</v>
      </c>
      <c r="P54" s="452">
        <v>1.12799721377761</v>
      </c>
      <c r="Q54" s="452">
        <v>1.0726404766323701</v>
      </c>
      <c r="S54" s="455">
        <f t="shared" si="2"/>
        <v>0.91092858966577961</v>
      </c>
      <c r="T54" s="456">
        <f t="shared" si="3"/>
        <v>1.2191906966167001</v>
      </c>
      <c r="V54" s="456"/>
      <c r="W54" s="457"/>
      <c r="X54" s="457"/>
    </row>
    <row r="55" spans="2:24">
      <c r="B55" s="448" t="s">
        <v>585</v>
      </c>
      <c r="C55" s="449">
        <v>16</v>
      </c>
      <c r="D55" s="450">
        <v>1.1770946700328599</v>
      </c>
      <c r="E55" s="451">
        <v>0.66801422600290505</v>
      </c>
      <c r="F55" s="451">
        <v>0.19532686112334099</v>
      </c>
      <c r="G55" s="452">
        <v>0.78420140106216296</v>
      </c>
      <c r="H55" s="451">
        <v>7.1772032633235006E-2</v>
      </c>
      <c r="I55" s="453">
        <v>0.84483707519265805</v>
      </c>
      <c r="J55" s="452">
        <v>0.44419494747462701</v>
      </c>
      <c r="K55" s="451">
        <v>0.352209345538403</v>
      </c>
      <c r="L55" s="454">
        <v>0.18329346039703001</v>
      </c>
      <c r="M55" s="452">
        <v>1.3336679465607399</v>
      </c>
      <c r="N55" s="452">
        <v>1.2442326298508299</v>
      </c>
      <c r="O55" s="452">
        <v>0.83</v>
      </c>
      <c r="P55" s="452">
        <v>1.11146782403578</v>
      </c>
      <c r="Q55" s="452">
        <v>1.0728410951280001</v>
      </c>
      <c r="S55" s="455">
        <f t="shared" si="2"/>
        <v>0.92822796736676405</v>
      </c>
      <c r="T55" s="456">
        <f t="shared" si="3"/>
        <v>0.84483707519265805</v>
      </c>
      <c r="V55" s="456"/>
      <c r="W55" s="457"/>
      <c r="X55" s="457"/>
    </row>
    <row r="56" spans="2:24">
      <c r="B56" s="448" t="s">
        <v>586</v>
      </c>
      <c r="C56" s="449">
        <v>4</v>
      </c>
      <c r="D56" s="450">
        <v>0.97748589274906805</v>
      </c>
      <c r="E56" s="451">
        <v>0.11503816258570899</v>
      </c>
      <c r="F56" s="451">
        <v>0.14222153189085501</v>
      </c>
      <c r="G56" s="452">
        <v>0.89984822770792305</v>
      </c>
      <c r="H56" s="451">
        <v>4.9056001104084701E-2</v>
      </c>
      <c r="I56" s="453">
        <v>0.94626836990683305</v>
      </c>
      <c r="J56" s="452">
        <v>0.34410896982169697</v>
      </c>
      <c r="K56" s="451">
        <v>0.30548944434643299</v>
      </c>
      <c r="L56" s="454">
        <v>0.97627647994798605</v>
      </c>
      <c r="M56" s="452">
        <v>1.0556071646429199</v>
      </c>
      <c r="N56" s="452">
        <v>1.1174661727895701</v>
      </c>
      <c r="O56" s="452">
        <v>0.98</v>
      </c>
      <c r="P56" s="452">
        <v>1.2509261963653</v>
      </c>
      <c r="Q56" s="452">
        <v>1.0700535807409199</v>
      </c>
      <c r="S56" s="455">
        <f t="shared" si="2"/>
        <v>0.9509439988959153</v>
      </c>
      <c r="T56" s="456">
        <f t="shared" si="3"/>
        <v>0.94626836990683305</v>
      </c>
      <c r="V56" s="456"/>
      <c r="W56" s="457"/>
      <c r="X56" s="457"/>
    </row>
    <row r="57" spans="2:24">
      <c r="B57" s="448" t="s">
        <v>587</v>
      </c>
      <c r="C57" s="449">
        <v>174</v>
      </c>
      <c r="D57" s="450">
        <v>1.25743155216177</v>
      </c>
      <c r="E57" s="451">
        <v>0.200833284430255</v>
      </c>
      <c r="F57" s="451">
        <v>4.6038594576514998E-2</v>
      </c>
      <c r="G57" s="452">
        <v>1.0928248493154999</v>
      </c>
      <c r="H57" s="451">
        <v>3.8114747359290997E-2</v>
      </c>
      <c r="I57" s="453">
        <v>1.1361280842130801</v>
      </c>
      <c r="J57" s="452">
        <v>0.578964293998944</v>
      </c>
      <c r="K57" s="451">
        <v>0.56976877370013901</v>
      </c>
      <c r="L57" s="454">
        <v>2.3177756312329598</v>
      </c>
      <c r="M57" s="452">
        <v>1.07431745445141</v>
      </c>
      <c r="N57" s="452">
        <v>1.0767106396403801</v>
      </c>
      <c r="O57" s="452">
        <v>0.81</v>
      </c>
      <c r="P57" s="452">
        <v>1.1279889221313999</v>
      </c>
      <c r="Q57" s="452">
        <v>1.0450290200872501</v>
      </c>
      <c r="S57" s="455">
        <f t="shared" si="2"/>
        <v>0.96188525264070612</v>
      </c>
      <c r="T57" s="456">
        <f t="shared" si="3"/>
        <v>1.1361280842130801</v>
      </c>
      <c r="V57" s="456"/>
      <c r="W57" s="457"/>
      <c r="X57" s="457"/>
    </row>
    <row r="58" spans="2:24">
      <c r="B58" s="448" t="s">
        <v>588</v>
      </c>
      <c r="C58" s="449">
        <v>23</v>
      </c>
      <c r="D58" s="450">
        <v>0.99125533132716503</v>
      </c>
      <c r="E58" s="451">
        <v>0.71410926721058798</v>
      </c>
      <c r="F58" s="451">
        <v>6.9021117945878993E-2</v>
      </c>
      <c r="G58" s="452">
        <v>0.64552421384207403</v>
      </c>
      <c r="H58" s="451">
        <v>1.67035387818587E-2</v>
      </c>
      <c r="I58" s="453">
        <v>0.65648991865828199</v>
      </c>
      <c r="J58" s="452">
        <v>0.423586299070142</v>
      </c>
      <c r="K58" s="451">
        <v>0.33549336269635999</v>
      </c>
      <c r="L58" s="454">
        <v>0.33561259971238999</v>
      </c>
      <c r="M58" s="452">
        <v>0.62316085617643402</v>
      </c>
      <c r="N58" s="452">
        <v>0.61751923031915801</v>
      </c>
      <c r="O58" s="452">
        <v>0.6</v>
      </c>
      <c r="P58" s="452">
        <v>0.86451087132141702</v>
      </c>
      <c r="Q58" s="452">
        <v>0.67233617529505796</v>
      </c>
      <c r="S58" s="455">
        <f t="shared" si="2"/>
        <v>0.98329646121814118</v>
      </c>
      <c r="T58" s="456">
        <f t="shared" si="3"/>
        <v>0.65648991865828199</v>
      </c>
      <c r="V58" s="456"/>
      <c r="W58" s="457"/>
      <c r="X58" s="457"/>
    </row>
    <row r="59" spans="2:24">
      <c r="B59" s="448" t="s">
        <v>589</v>
      </c>
      <c r="C59" s="449">
        <v>101</v>
      </c>
      <c r="D59" s="450">
        <v>1.3751593545688401</v>
      </c>
      <c r="E59" s="451">
        <v>0.32604180548581302</v>
      </c>
      <c r="F59" s="451">
        <v>7.0685214388915896E-2</v>
      </c>
      <c r="G59" s="452">
        <v>1.10496159861511</v>
      </c>
      <c r="H59" s="451">
        <v>6.9065997248052902E-2</v>
      </c>
      <c r="I59" s="453">
        <v>1.1869387038702199</v>
      </c>
      <c r="J59" s="452">
        <v>0.53232665838471804</v>
      </c>
      <c r="K59" s="451">
        <v>0.468981073387854</v>
      </c>
      <c r="L59" s="454">
        <v>0.67572561500427397</v>
      </c>
      <c r="M59" s="452">
        <v>1.06688647695799</v>
      </c>
      <c r="N59" s="452">
        <v>1.2186547171181299</v>
      </c>
      <c r="O59" s="452">
        <v>0.83</v>
      </c>
      <c r="P59" s="452">
        <v>1.1791731857829799</v>
      </c>
      <c r="Q59" s="452">
        <v>1.09633061674587</v>
      </c>
      <c r="S59" s="455">
        <f t="shared" si="2"/>
        <v>0.9309340027519456</v>
      </c>
      <c r="T59" s="456">
        <f t="shared" si="3"/>
        <v>1.1869387038702199</v>
      </c>
      <c r="V59" s="456"/>
      <c r="W59" s="457"/>
      <c r="X59" s="457"/>
    </row>
    <row r="60" spans="2:24">
      <c r="B60" s="448" t="s">
        <v>590</v>
      </c>
      <c r="C60" s="449">
        <v>25</v>
      </c>
      <c r="D60" s="450">
        <v>0.95242199691205198</v>
      </c>
      <c r="E60" s="451">
        <v>0.61965646428058296</v>
      </c>
      <c r="F60" s="451">
        <v>0.146619130300286</v>
      </c>
      <c r="G60" s="452">
        <v>0.65023176128940496</v>
      </c>
      <c r="H60" s="451">
        <v>3.02281417221461E-2</v>
      </c>
      <c r="I60" s="453">
        <v>0.67049972190789697</v>
      </c>
      <c r="J60" s="452">
        <v>0.36887938137180099</v>
      </c>
      <c r="K60" s="451">
        <v>0.24431384085324001</v>
      </c>
      <c r="L60" s="454">
        <v>8.1676534805838599E-2</v>
      </c>
      <c r="M60" s="452">
        <v>0.73705502274807599</v>
      </c>
      <c r="N60" s="452">
        <v>0.67817351673939597</v>
      </c>
      <c r="O60" s="452">
        <v>0.68</v>
      </c>
      <c r="P60" s="452">
        <v>0.77829582130724695</v>
      </c>
      <c r="Q60" s="452">
        <v>0.70880481654052296</v>
      </c>
      <c r="S60" s="455">
        <f t="shared" si="2"/>
        <v>0.96977185827785306</v>
      </c>
      <c r="T60" s="456">
        <f t="shared" si="3"/>
        <v>0.67049972190789697</v>
      </c>
      <c r="V60" s="456"/>
      <c r="W60" s="457"/>
      <c r="X60" s="457"/>
    </row>
    <row r="61" spans="2:24">
      <c r="B61" s="448" t="s">
        <v>591</v>
      </c>
      <c r="C61" s="449">
        <v>7</v>
      </c>
      <c r="D61" s="450">
        <v>1.38300667113941</v>
      </c>
      <c r="E61" s="451">
        <v>0.43865019654964599</v>
      </c>
      <c r="F61" s="451">
        <v>0.127574572693816</v>
      </c>
      <c r="G61" s="452">
        <v>1.0406467462902</v>
      </c>
      <c r="H61" s="451">
        <v>7.5671084905858998E-2</v>
      </c>
      <c r="I61" s="453">
        <v>1.1258403034857101</v>
      </c>
      <c r="J61" s="452">
        <v>0.60115667349526203</v>
      </c>
      <c r="K61" s="451">
        <v>0.42843597130920202</v>
      </c>
      <c r="L61" s="454">
        <v>0.92832539940835601</v>
      </c>
      <c r="M61" s="452">
        <v>1.17287457126832</v>
      </c>
      <c r="N61" s="452">
        <v>1.25437474705053</v>
      </c>
      <c r="O61" s="452">
        <v>0.96</v>
      </c>
      <c r="P61" s="452">
        <v>0.99849584058269902</v>
      </c>
      <c r="Q61" s="452">
        <v>1.1023170924774499</v>
      </c>
      <c r="S61" s="455">
        <f t="shared" si="2"/>
        <v>0.92432891509413673</v>
      </c>
      <c r="T61" s="456">
        <f t="shared" si="3"/>
        <v>1.1258403034857101</v>
      </c>
      <c r="V61" s="456"/>
      <c r="W61" s="457"/>
      <c r="X61" s="457"/>
    </row>
    <row r="62" spans="2:24">
      <c r="B62" s="448" t="s">
        <v>592</v>
      </c>
      <c r="C62" s="449">
        <v>48</v>
      </c>
      <c r="D62" s="450">
        <v>0.72500097471023905</v>
      </c>
      <c r="E62" s="451">
        <v>0.77155753730162302</v>
      </c>
      <c r="F62" s="451">
        <v>0.12298398219937</v>
      </c>
      <c r="G62" s="452">
        <v>0.45924849585608901</v>
      </c>
      <c r="H62" s="451">
        <v>1.0296600450838699E-2</v>
      </c>
      <c r="I62" s="453">
        <v>0.46402639019456798</v>
      </c>
      <c r="J62" s="452">
        <v>0.25563132543059602</v>
      </c>
      <c r="K62" s="451">
        <v>0.17178123503293299</v>
      </c>
      <c r="L62" s="454">
        <v>8.0602688567820102E-2</v>
      </c>
      <c r="M62" s="452">
        <v>0.34601650759064101</v>
      </c>
      <c r="N62" s="452">
        <v>0.37843539998307502</v>
      </c>
      <c r="O62" s="452">
        <v>0.43</v>
      </c>
      <c r="P62" s="452">
        <v>0.55746416310695102</v>
      </c>
      <c r="Q62" s="452">
        <v>0.43518849217504701</v>
      </c>
      <c r="S62" s="455">
        <f t="shared" si="2"/>
        <v>0.9897033995491602</v>
      </c>
      <c r="T62" s="456">
        <f t="shared" si="3"/>
        <v>0.46402639019456798</v>
      </c>
      <c r="V62" s="456"/>
      <c r="W62" s="457"/>
      <c r="X62" s="457"/>
    </row>
    <row r="63" spans="2:24">
      <c r="B63" s="448" t="s">
        <v>593</v>
      </c>
      <c r="C63" s="449">
        <v>74</v>
      </c>
      <c r="D63" s="450">
        <v>1.2336190389708599</v>
      </c>
      <c r="E63" s="451">
        <v>0.16326322309396299</v>
      </c>
      <c r="F63" s="451">
        <v>2.8730153469345199E-2</v>
      </c>
      <c r="G63" s="452">
        <v>1.09904394623293</v>
      </c>
      <c r="H63" s="451">
        <v>7.4262155460789694E-2</v>
      </c>
      <c r="I63" s="453">
        <v>1.18720861712204</v>
      </c>
      <c r="J63" s="452">
        <v>0.69473279707936597</v>
      </c>
      <c r="K63" s="451">
        <v>0.72543314545868798</v>
      </c>
      <c r="L63" s="454">
        <v>0.70819997746631103</v>
      </c>
      <c r="M63" s="452">
        <v>1.1490747541483901</v>
      </c>
      <c r="N63" s="452">
        <v>1.33204796686196</v>
      </c>
      <c r="O63" s="452">
        <v>0.75</v>
      </c>
      <c r="P63" s="452">
        <v>0.98737749412225095</v>
      </c>
      <c r="Q63" s="452">
        <v>1.08114176645093</v>
      </c>
      <c r="S63" s="455">
        <f t="shared" si="2"/>
        <v>0.92573784453920704</v>
      </c>
      <c r="T63" s="456">
        <f t="shared" si="3"/>
        <v>1.18720861712204</v>
      </c>
      <c r="V63" s="456"/>
      <c r="W63" s="457"/>
      <c r="X63" s="457"/>
    </row>
    <row r="64" spans="2:24">
      <c r="B64" s="448" t="s">
        <v>594</v>
      </c>
      <c r="C64" s="449">
        <v>20</v>
      </c>
      <c r="D64" s="450">
        <v>1.11489577668817</v>
      </c>
      <c r="E64" s="451">
        <v>0.42176377073279597</v>
      </c>
      <c r="F64" s="451">
        <v>9.6670145212730901E-2</v>
      </c>
      <c r="G64" s="452">
        <v>0.846977468544032</v>
      </c>
      <c r="H64" s="451">
        <v>7.3486465244431906E-2</v>
      </c>
      <c r="I64" s="453">
        <v>0.91415552689954005</v>
      </c>
      <c r="J64" s="452">
        <v>0.46065057632470902</v>
      </c>
      <c r="K64" s="451">
        <v>0.30919744401282201</v>
      </c>
      <c r="L64" s="454">
        <v>0.120289844788105</v>
      </c>
      <c r="M64" s="452">
        <v>0.89788591137584495</v>
      </c>
      <c r="N64" s="452">
        <v>0.75678423138498596</v>
      </c>
      <c r="O64" s="452">
        <v>1.1000000000000001</v>
      </c>
      <c r="P64" s="452">
        <v>1.46426401133481</v>
      </c>
      <c r="Q64" s="452">
        <v>1.02661793619904</v>
      </c>
      <c r="S64" s="455">
        <f t="shared" si="2"/>
        <v>0.92651353475556841</v>
      </c>
      <c r="T64" s="456">
        <f t="shared" si="3"/>
        <v>0.91415552689954005</v>
      </c>
      <c r="V64" s="456"/>
      <c r="W64" s="457"/>
      <c r="X64" s="457"/>
    </row>
    <row r="65" spans="2:24">
      <c r="B65" s="448" t="s">
        <v>595</v>
      </c>
      <c r="C65" s="449">
        <v>223</v>
      </c>
      <c r="D65" s="450">
        <v>1.0633760430054899</v>
      </c>
      <c r="E65" s="451">
        <v>0.77327933090773304</v>
      </c>
      <c r="F65" s="451">
        <v>3.38165632748594E-2</v>
      </c>
      <c r="G65" s="452">
        <v>0.67304006478006895</v>
      </c>
      <c r="H65" s="451">
        <v>1.8257812982754699E-2</v>
      </c>
      <c r="I65" s="453">
        <v>0.68555683323023697</v>
      </c>
      <c r="J65" s="452">
        <v>0.30827746956501101</v>
      </c>
      <c r="K65" s="451">
        <v>0.21541532639566599</v>
      </c>
      <c r="L65" s="454">
        <v>0.205891191256975</v>
      </c>
      <c r="M65" s="452">
        <v>0.40946857953268101</v>
      </c>
      <c r="N65" s="452">
        <v>0.42562033756937301</v>
      </c>
      <c r="O65" s="452">
        <v>0.79</v>
      </c>
      <c r="P65" s="452">
        <v>0.98822165167975795</v>
      </c>
      <c r="Q65" s="452">
        <v>0.65977348040241002</v>
      </c>
      <c r="S65" s="455">
        <f t="shared" si="2"/>
        <v>0.98174218701724414</v>
      </c>
      <c r="T65" s="456">
        <f t="shared" si="3"/>
        <v>0.68555683323023697</v>
      </c>
      <c r="V65" s="456"/>
      <c r="W65" s="457"/>
      <c r="X65" s="457"/>
    </row>
    <row r="66" spans="2:24">
      <c r="B66" s="448" t="s">
        <v>596</v>
      </c>
      <c r="C66" s="449">
        <v>18</v>
      </c>
      <c r="D66" s="450">
        <v>1.5166924498761201</v>
      </c>
      <c r="E66" s="451">
        <v>1.1255656150447599</v>
      </c>
      <c r="F66" s="451">
        <v>6.6640216513095096E-2</v>
      </c>
      <c r="G66" s="452">
        <v>0.82242363036867605</v>
      </c>
      <c r="H66" s="451">
        <v>6.9451076941643597E-2</v>
      </c>
      <c r="I66" s="453">
        <v>0.88380482744065203</v>
      </c>
      <c r="J66" s="452">
        <v>0.59355605001762202</v>
      </c>
      <c r="K66" s="451">
        <v>0.51250635002105205</v>
      </c>
      <c r="L66" s="454">
        <v>0.69874259684071804</v>
      </c>
      <c r="M66" s="452">
        <v>0.87103759301648198</v>
      </c>
      <c r="N66" s="452">
        <v>0.89107405238567605</v>
      </c>
      <c r="O66" s="452">
        <v>0.56000000000000005</v>
      </c>
      <c r="P66" s="452">
        <v>0.74244118019660299</v>
      </c>
      <c r="Q66" s="452">
        <v>0.78967153060788298</v>
      </c>
      <c r="S66" s="455">
        <f t="shared" si="2"/>
        <v>0.93054892305835735</v>
      </c>
      <c r="T66" s="456">
        <f t="shared" si="3"/>
        <v>0.88380482744065203</v>
      </c>
      <c r="V66" s="456"/>
      <c r="W66" s="457"/>
      <c r="X66" s="457"/>
    </row>
    <row r="67" spans="2:24">
      <c r="B67" s="448" t="s">
        <v>597</v>
      </c>
      <c r="C67" s="449">
        <v>12</v>
      </c>
      <c r="D67" s="450">
        <v>0.78980297684165002</v>
      </c>
      <c r="E67" s="451">
        <v>0.39818801240908003</v>
      </c>
      <c r="F67" s="451">
        <v>9.37129516465567E-2</v>
      </c>
      <c r="G67" s="452">
        <v>0.60817652544580503</v>
      </c>
      <c r="H67" s="451">
        <v>8.5365153569522095E-2</v>
      </c>
      <c r="I67" s="453">
        <v>0.66493915885593102</v>
      </c>
      <c r="J67" s="452">
        <v>0.52646194832496196</v>
      </c>
      <c r="K67" s="451">
        <v>0.28661749273612602</v>
      </c>
      <c r="L67" s="454">
        <v>1.1188659446973199</v>
      </c>
      <c r="M67" s="452">
        <v>1.3273571545799101</v>
      </c>
      <c r="N67" s="452">
        <v>1.5017204419376</v>
      </c>
      <c r="O67" s="452">
        <v>0.76</v>
      </c>
      <c r="P67" s="452">
        <v>0.83326634114682596</v>
      </c>
      <c r="Q67" s="452">
        <v>1.01745661930405</v>
      </c>
      <c r="S67" s="455">
        <f t="shared" ref="S67:S98" si="4">G67/I67</f>
        <v>0.91463484643047699</v>
      </c>
      <c r="T67" s="456">
        <f t="shared" ref="T67:T98" si="5">G67/S67</f>
        <v>0.66493915885593102</v>
      </c>
      <c r="V67" s="456"/>
      <c r="W67" s="457"/>
      <c r="X67" s="457"/>
    </row>
    <row r="68" spans="2:24">
      <c r="B68" s="448" t="s">
        <v>598</v>
      </c>
      <c r="C68" s="449">
        <v>60</v>
      </c>
      <c r="D68" s="450">
        <v>1.34548433021126</v>
      </c>
      <c r="E68" s="451">
        <v>1.0925740752439099</v>
      </c>
      <c r="F68" s="451">
        <v>5.46616625024898E-2</v>
      </c>
      <c r="G68" s="452">
        <v>0.73950848272502001</v>
      </c>
      <c r="H68" s="451">
        <v>8.1379435050841803E-2</v>
      </c>
      <c r="I68" s="453">
        <v>0.80502060474331805</v>
      </c>
      <c r="J68" s="452">
        <v>0.53687989020006799</v>
      </c>
      <c r="K68" s="451">
        <v>0.444342204530637</v>
      </c>
      <c r="L68" s="454">
        <v>1.2181846340506299</v>
      </c>
      <c r="M68" s="452">
        <v>0.95287705840966197</v>
      </c>
      <c r="N68" s="452">
        <v>0.67504760776561501</v>
      </c>
      <c r="O68" s="452">
        <v>0.75</v>
      </c>
      <c r="P68" s="452">
        <v>0.87112475035733195</v>
      </c>
      <c r="Q68" s="452">
        <v>0.81081400425518502</v>
      </c>
      <c r="S68" s="455">
        <f t="shared" si="4"/>
        <v>0.91862056494915845</v>
      </c>
      <c r="T68" s="456">
        <f t="shared" si="5"/>
        <v>0.80502060474331805</v>
      </c>
      <c r="V68" s="456"/>
      <c r="W68" s="457"/>
      <c r="X68" s="457"/>
    </row>
    <row r="69" spans="2:24">
      <c r="B69" s="448" t="s">
        <v>599</v>
      </c>
      <c r="C69" s="449">
        <v>57</v>
      </c>
      <c r="D69" s="450">
        <v>1.4179809441636499</v>
      </c>
      <c r="E69" s="451">
        <v>0.52060538651449095</v>
      </c>
      <c r="F69" s="451">
        <v>9.4928845466662901E-2</v>
      </c>
      <c r="G69" s="452">
        <v>1.0197970615987</v>
      </c>
      <c r="H69" s="451">
        <v>5.1786361462362998E-2</v>
      </c>
      <c r="I69" s="453">
        <v>1.0754929270701701</v>
      </c>
      <c r="J69" s="452">
        <v>0.59392595484122601</v>
      </c>
      <c r="K69" s="451">
        <v>0.42131153923229803</v>
      </c>
      <c r="L69" s="454">
        <v>0.183035952987225</v>
      </c>
      <c r="M69" s="452">
        <v>0.80923296728017902</v>
      </c>
      <c r="N69" s="452">
        <v>0.75402861704359303</v>
      </c>
      <c r="O69" s="452">
        <v>0.77</v>
      </c>
      <c r="P69" s="452">
        <v>1.0736325867418699</v>
      </c>
      <c r="Q69" s="452">
        <v>0.89647741962716199</v>
      </c>
      <c r="S69" s="455">
        <f t="shared" si="4"/>
        <v>0.94821363853763752</v>
      </c>
      <c r="T69" s="456">
        <f t="shared" si="5"/>
        <v>1.0754929270701701</v>
      </c>
      <c r="V69" s="456"/>
      <c r="W69" s="457"/>
      <c r="X69" s="457"/>
    </row>
    <row r="70" spans="2:24">
      <c r="B70" s="448" t="s">
        <v>600</v>
      </c>
      <c r="C70" s="449">
        <v>1</v>
      </c>
      <c r="D70" s="450">
        <v>0.82924820341635097</v>
      </c>
      <c r="E70" s="451">
        <v>0.450986746871543</v>
      </c>
      <c r="F70" s="451">
        <v>6.4829821717990302E-2</v>
      </c>
      <c r="G70" s="452">
        <v>0.61965579129437898</v>
      </c>
      <c r="H70" s="451">
        <v>0.25486977918133502</v>
      </c>
      <c r="I70" s="453">
        <v>0.83160738080596297</v>
      </c>
      <c r="J70" s="452">
        <v>0.207582399740218</v>
      </c>
      <c r="K70" s="451">
        <v>0.19367615674438399</v>
      </c>
      <c r="L70" s="454">
        <v>0.21772502996630699</v>
      </c>
      <c r="M70" s="452">
        <v>0.88201735631794498</v>
      </c>
      <c r="N70" s="452">
        <v>0.76985429252100102</v>
      </c>
      <c r="O70" s="452">
        <v>1.1299999999999999</v>
      </c>
      <c r="P70" s="452">
        <v>1.2950268765575901</v>
      </c>
      <c r="Q70" s="452">
        <v>0.98170118124049999</v>
      </c>
      <c r="S70" s="455">
        <f t="shared" si="4"/>
        <v>0.7451302208186652</v>
      </c>
      <c r="T70" s="456">
        <f t="shared" si="5"/>
        <v>0.83160738080596297</v>
      </c>
      <c r="V70" s="456"/>
      <c r="W70" s="457"/>
      <c r="X70" s="457"/>
    </row>
    <row r="71" spans="2:24">
      <c r="B71" s="448" t="s">
        <v>601</v>
      </c>
      <c r="C71" s="449">
        <v>70</v>
      </c>
      <c r="D71" s="450">
        <v>1.4103978688180501</v>
      </c>
      <c r="E71" s="451">
        <v>0.30775437210884499</v>
      </c>
      <c r="F71" s="451">
        <v>8.5443306117611806E-2</v>
      </c>
      <c r="G71" s="452">
        <v>1.14590492971288</v>
      </c>
      <c r="H71" s="451">
        <v>1.7235635807217299E-2</v>
      </c>
      <c r="I71" s="453">
        <v>1.16600171054645</v>
      </c>
      <c r="J71" s="452">
        <v>0.47491971300906</v>
      </c>
      <c r="K71" s="451">
        <v>0.411470533916096</v>
      </c>
      <c r="L71" s="454">
        <v>0.163081519303832</v>
      </c>
      <c r="M71" s="452">
        <v>0.651068839949835</v>
      </c>
      <c r="N71" s="452">
        <v>0.75189638132612402</v>
      </c>
      <c r="O71" s="452">
        <v>1.1100000000000001</v>
      </c>
      <c r="P71" s="452">
        <v>1.33216589415319</v>
      </c>
      <c r="Q71" s="452">
        <v>1.0022265651951201</v>
      </c>
      <c r="S71" s="455">
        <f t="shared" si="4"/>
        <v>0.98276436419278368</v>
      </c>
      <c r="T71" s="456">
        <f t="shared" si="5"/>
        <v>1.16600171054645</v>
      </c>
      <c r="V71" s="456"/>
      <c r="W71" s="457"/>
      <c r="X71" s="457"/>
    </row>
    <row r="72" spans="2:24">
      <c r="B72" s="448" t="s">
        <v>602</v>
      </c>
      <c r="C72" s="449">
        <v>30</v>
      </c>
      <c r="D72" s="450">
        <v>1.52019251217686</v>
      </c>
      <c r="E72" s="451">
        <v>0.57486804158388605</v>
      </c>
      <c r="F72" s="451">
        <v>0.15838509352595001</v>
      </c>
      <c r="G72" s="452">
        <v>1.06221669065566</v>
      </c>
      <c r="H72" s="451">
        <v>1.8942366151700099E-2</v>
      </c>
      <c r="I72" s="453">
        <v>1.0827260845919999</v>
      </c>
      <c r="J72" s="452">
        <v>0.49581621015003202</v>
      </c>
      <c r="K72" s="451">
        <v>0.35710895966484502</v>
      </c>
      <c r="L72" s="454">
        <v>0.313783979900223</v>
      </c>
      <c r="M72" s="452">
        <v>0.76099800140698404</v>
      </c>
      <c r="N72" s="452">
        <v>0.86851869321113995</v>
      </c>
      <c r="O72" s="452">
        <v>0.99</v>
      </c>
      <c r="P72" s="452">
        <v>1.1214912603915701</v>
      </c>
      <c r="Q72" s="452">
        <v>0.96474680792033896</v>
      </c>
      <c r="S72" s="455">
        <f t="shared" si="4"/>
        <v>0.98105763384829847</v>
      </c>
      <c r="T72" s="456">
        <f t="shared" si="5"/>
        <v>1.0827260845919999</v>
      </c>
      <c r="V72" s="456"/>
      <c r="W72" s="457"/>
      <c r="X72" s="457"/>
    </row>
    <row r="73" spans="2:24">
      <c r="B73" s="448" t="s">
        <v>603</v>
      </c>
      <c r="C73" s="449">
        <v>15</v>
      </c>
      <c r="D73" s="450">
        <v>1.7891723510222499</v>
      </c>
      <c r="E73" s="451">
        <v>0.21213527708387001</v>
      </c>
      <c r="F73" s="451">
        <v>0.13391716018934699</v>
      </c>
      <c r="G73" s="452">
        <v>1.5435856274378501</v>
      </c>
      <c r="H73" s="451">
        <v>1.49685428356646E-2</v>
      </c>
      <c r="I73" s="453">
        <v>1.56704196217393</v>
      </c>
      <c r="J73" s="452">
        <v>0.470817515935328</v>
      </c>
      <c r="K73" s="451">
        <v>0.37546183716654402</v>
      </c>
      <c r="L73" s="454">
        <v>0.33819679970227601</v>
      </c>
      <c r="M73" s="452">
        <v>0.967279177762567</v>
      </c>
      <c r="N73" s="452">
        <v>1.1509711433254399</v>
      </c>
      <c r="O73" s="452">
        <v>1.43</v>
      </c>
      <c r="P73" s="452">
        <v>1.4189632481805401</v>
      </c>
      <c r="Q73" s="452">
        <v>1.3068511062885</v>
      </c>
      <c r="S73" s="455">
        <f t="shared" si="4"/>
        <v>0.98503145716433826</v>
      </c>
      <c r="T73" s="456">
        <f t="shared" si="5"/>
        <v>1.56704196217393</v>
      </c>
      <c r="V73" s="456"/>
      <c r="W73" s="457"/>
      <c r="X73" s="457"/>
    </row>
    <row r="74" spans="2:24">
      <c r="B74" s="448" t="s">
        <v>604</v>
      </c>
      <c r="C74" s="449">
        <v>69</v>
      </c>
      <c r="D74" s="450">
        <v>1.2752456934388801</v>
      </c>
      <c r="E74" s="451">
        <v>0.39567295890000198</v>
      </c>
      <c r="F74" s="451">
        <v>0.13594643894000899</v>
      </c>
      <c r="G74" s="452">
        <v>0.983413188771883</v>
      </c>
      <c r="H74" s="451">
        <v>2.2524354628298299E-2</v>
      </c>
      <c r="I74" s="453">
        <v>1.00607436454125</v>
      </c>
      <c r="J74" s="452">
        <v>0.46193491376213702</v>
      </c>
      <c r="K74" s="451">
        <v>0.370830107762401</v>
      </c>
      <c r="L74" s="454">
        <v>0.25350519996716597</v>
      </c>
      <c r="M74" s="452">
        <v>0.98702118147956197</v>
      </c>
      <c r="N74" s="452">
        <v>0.89371496522206695</v>
      </c>
      <c r="O74" s="452">
        <v>0.75</v>
      </c>
      <c r="P74" s="452">
        <v>1.0645116152504099</v>
      </c>
      <c r="Q74" s="452">
        <v>0.94026442529865795</v>
      </c>
      <c r="S74" s="455">
        <f t="shared" si="4"/>
        <v>0.97747564537170173</v>
      </c>
      <c r="T74" s="456">
        <f t="shared" si="5"/>
        <v>1.00607436454125</v>
      </c>
      <c r="V74" s="456"/>
      <c r="W74" s="457"/>
      <c r="X74" s="457"/>
    </row>
    <row r="75" spans="2:24">
      <c r="B75" s="448" t="s">
        <v>605</v>
      </c>
      <c r="C75" s="449">
        <v>15</v>
      </c>
      <c r="D75" s="450">
        <v>1.3632136186935599</v>
      </c>
      <c r="E75" s="451">
        <v>0.19969640536769301</v>
      </c>
      <c r="F75" s="451">
        <v>0.21259763765231701</v>
      </c>
      <c r="G75" s="452">
        <v>1.1856378988434999</v>
      </c>
      <c r="H75" s="451">
        <v>2.8245545382027299E-2</v>
      </c>
      <c r="I75" s="453">
        <v>1.2201002971574899</v>
      </c>
      <c r="J75" s="452">
        <v>0.34600452314885799</v>
      </c>
      <c r="K75" s="451">
        <v>0.31528080319313101</v>
      </c>
      <c r="L75" s="454">
        <v>0.11083736572099</v>
      </c>
      <c r="M75" s="452">
        <v>0.75148618712202297</v>
      </c>
      <c r="N75" s="452">
        <v>0.94572679473428201</v>
      </c>
      <c r="O75" s="452">
        <v>0.81</v>
      </c>
      <c r="P75" s="452">
        <v>1.0383563104796301</v>
      </c>
      <c r="Q75" s="452">
        <v>0.95313391789868396</v>
      </c>
      <c r="S75" s="455">
        <f t="shared" si="4"/>
        <v>0.97175445461797016</v>
      </c>
      <c r="T75" s="456">
        <f t="shared" si="5"/>
        <v>1.2201002971574899</v>
      </c>
      <c r="V75" s="456"/>
      <c r="W75" s="457"/>
      <c r="X75" s="457"/>
    </row>
    <row r="76" spans="2:24">
      <c r="B76" s="448" t="s">
        <v>606</v>
      </c>
      <c r="C76" s="449">
        <v>13</v>
      </c>
      <c r="D76" s="450">
        <v>0.66756973306314005</v>
      </c>
      <c r="E76" s="451">
        <v>0.65817573533732898</v>
      </c>
      <c r="F76" s="451">
        <v>0.16454371176768501</v>
      </c>
      <c r="G76" s="452">
        <v>0.44694397400442598</v>
      </c>
      <c r="H76" s="451">
        <v>5.5436020108825798E-2</v>
      </c>
      <c r="I76" s="453">
        <v>0.47317490770283199</v>
      </c>
      <c r="J76" s="452">
        <v>0.44427105868248301</v>
      </c>
      <c r="K76" s="451">
        <v>0.28264661461127</v>
      </c>
      <c r="L76" s="454">
        <v>0.28502567449807598</v>
      </c>
      <c r="M76" s="452">
        <v>0.28123262190943099</v>
      </c>
      <c r="N76" s="452">
        <v>0.34510306364727</v>
      </c>
      <c r="O76" s="452">
        <v>0.15</v>
      </c>
      <c r="P76" s="452">
        <v>0.212006962391634</v>
      </c>
      <c r="Q76" s="452">
        <v>0.29230351113023301</v>
      </c>
      <c r="S76" s="455">
        <f t="shared" si="4"/>
        <v>0.94456397989117413</v>
      </c>
      <c r="T76" s="456">
        <f t="shared" si="5"/>
        <v>0.47317490770283199</v>
      </c>
      <c r="V76" s="456"/>
      <c r="W76" s="457"/>
      <c r="X76" s="457"/>
    </row>
    <row r="77" spans="2:24">
      <c r="B77" s="448" t="s">
        <v>607</v>
      </c>
      <c r="C77" s="449">
        <v>63</v>
      </c>
      <c r="D77" s="450">
        <v>1.4871300694613401</v>
      </c>
      <c r="E77" s="451">
        <v>0.191744471880574</v>
      </c>
      <c r="F77" s="451">
        <v>4.0941719858048502E-2</v>
      </c>
      <c r="G77" s="452">
        <v>1.30015667780111</v>
      </c>
      <c r="H77" s="451">
        <v>4.1175209963425698E-2</v>
      </c>
      <c r="I77" s="453">
        <v>1.3559898443505201</v>
      </c>
      <c r="J77" s="452">
        <v>0.70248693277034502</v>
      </c>
      <c r="K77" s="451">
        <v>0.59410388760758703</v>
      </c>
      <c r="L77" s="454">
        <v>0.77434468390971001</v>
      </c>
      <c r="M77" s="452">
        <v>1.34449825920508</v>
      </c>
      <c r="N77" s="452">
        <v>1.1594182467938401</v>
      </c>
      <c r="O77" s="452">
        <v>1.1399999999999999</v>
      </c>
      <c r="P77" s="452">
        <v>1.0650034437346401</v>
      </c>
      <c r="Q77" s="452">
        <v>1.21298195881682</v>
      </c>
      <c r="S77" s="455">
        <f t="shared" si="4"/>
        <v>0.95882479003657106</v>
      </c>
      <c r="T77" s="456">
        <f t="shared" si="5"/>
        <v>1.3559898443505201</v>
      </c>
      <c r="V77" s="456"/>
      <c r="W77" s="457"/>
      <c r="X77" s="457"/>
    </row>
    <row r="78" spans="2:24">
      <c r="B78" s="448" t="s">
        <v>608</v>
      </c>
      <c r="C78" s="449">
        <v>78</v>
      </c>
      <c r="D78" s="450">
        <v>1.47520738254505</v>
      </c>
      <c r="E78" s="451">
        <v>0.39158372922601897</v>
      </c>
      <c r="F78" s="451">
        <v>0.15019349979060001</v>
      </c>
      <c r="G78" s="452">
        <v>1.1403117398631699</v>
      </c>
      <c r="H78" s="451">
        <v>4.0041704683196497E-2</v>
      </c>
      <c r="I78" s="453">
        <v>1.18787633319721</v>
      </c>
      <c r="J78" s="452">
        <v>0.50878132822016198</v>
      </c>
      <c r="K78" s="451">
        <v>0.38585905225789602</v>
      </c>
      <c r="L78" s="454">
        <v>0.223161388461038</v>
      </c>
      <c r="M78" s="452">
        <v>0.80006504109099097</v>
      </c>
      <c r="N78" s="452">
        <v>0.69034637967944301</v>
      </c>
      <c r="O78" s="452">
        <v>1.03</v>
      </c>
      <c r="P78" s="452">
        <v>1.2289647113509301</v>
      </c>
      <c r="Q78" s="452">
        <v>0.98745049306371602</v>
      </c>
      <c r="S78" s="455">
        <f t="shared" si="4"/>
        <v>0.95995829531680432</v>
      </c>
      <c r="T78" s="456">
        <f t="shared" si="5"/>
        <v>1.18787633319721</v>
      </c>
      <c r="V78" s="456"/>
      <c r="W78" s="457"/>
      <c r="X78" s="457"/>
    </row>
    <row r="79" spans="2:24">
      <c r="B79" s="448" t="s">
        <v>609</v>
      </c>
      <c r="C79" s="449">
        <v>3</v>
      </c>
      <c r="D79" s="450">
        <v>0.83801497962970495</v>
      </c>
      <c r="E79" s="451">
        <v>3.3033396046193801</v>
      </c>
      <c r="F79" s="451">
        <v>0</v>
      </c>
      <c r="G79" s="452">
        <v>0.24098169552288901</v>
      </c>
      <c r="H79" s="451">
        <v>9.9691021624217793E-2</v>
      </c>
      <c r="I79" s="453">
        <v>0.26766554739644599</v>
      </c>
      <c r="J79" s="452">
        <v>0.45026186402653601</v>
      </c>
      <c r="K79" s="451">
        <v>0.39785998397496197</v>
      </c>
      <c r="L79" s="454">
        <v>0.50671998615050295</v>
      </c>
      <c r="M79" s="452">
        <v>0.23902988074589701</v>
      </c>
      <c r="N79" s="452">
        <v>0.45318132931651101</v>
      </c>
      <c r="O79" s="452">
        <v>0.54</v>
      </c>
      <c r="P79" s="452">
        <v>0.58921293583338097</v>
      </c>
      <c r="Q79" s="452">
        <v>0.41781793865844702</v>
      </c>
      <c r="S79" s="455">
        <f t="shared" si="4"/>
        <v>0.90030897837578294</v>
      </c>
      <c r="T79" s="456">
        <f t="shared" si="5"/>
        <v>0.26766554739644599</v>
      </c>
      <c r="V79" s="456"/>
      <c r="W79" s="457"/>
      <c r="X79" s="457"/>
    </row>
    <row r="80" spans="2:24">
      <c r="B80" s="448" t="s">
        <v>610</v>
      </c>
      <c r="C80" s="449">
        <v>68</v>
      </c>
      <c r="D80" s="450">
        <v>1.6077462586340701</v>
      </c>
      <c r="E80" s="451">
        <v>0.112656283821917</v>
      </c>
      <c r="F80" s="451">
        <v>8.1819268803683703E-2</v>
      </c>
      <c r="G80" s="452">
        <v>1.4824876007035701</v>
      </c>
      <c r="H80" s="451">
        <v>3.3748762158634801E-2</v>
      </c>
      <c r="I80" s="453">
        <v>1.5342672202060901</v>
      </c>
      <c r="J80" s="452">
        <v>0.48933792335067899</v>
      </c>
      <c r="K80" s="451">
        <v>0.38404265117692099</v>
      </c>
      <c r="L80" s="454">
        <v>0.38437761380903201</v>
      </c>
      <c r="M80" s="452">
        <v>1.263796728068</v>
      </c>
      <c r="N80" s="452">
        <v>1.23689027672456</v>
      </c>
      <c r="O80" s="452">
        <v>0.96</v>
      </c>
      <c r="P80" s="452">
        <v>1.13582107430905</v>
      </c>
      <c r="Q80" s="452">
        <v>1.2261550598615401</v>
      </c>
      <c r="S80" s="455">
        <f t="shared" si="4"/>
        <v>0.96625123784136857</v>
      </c>
      <c r="T80" s="456">
        <f t="shared" si="5"/>
        <v>1.5342672202060901</v>
      </c>
      <c r="V80" s="456"/>
      <c r="W80" s="457"/>
      <c r="X80" s="457"/>
    </row>
    <row r="81" spans="2:24">
      <c r="B81" s="448" t="s">
        <v>611</v>
      </c>
      <c r="C81" s="449">
        <v>30</v>
      </c>
      <c r="D81" s="450">
        <v>1.7571427217158899</v>
      </c>
      <c r="E81" s="451">
        <v>0.11786824757584199</v>
      </c>
      <c r="F81" s="451">
        <v>0.109368984306041</v>
      </c>
      <c r="G81" s="452">
        <v>1.6144255857412</v>
      </c>
      <c r="H81" s="451">
        <v>4.4292965648447299E-2</v>
      </c>
      <c r="I81" s="453">
        <v>1.6892473610771199</v>
      </c>
      <c r="J81" s="452">
        <v>0.435133734501917</v>
      </c>
      <c r="K81" s="451">
        <v>0.41568723029676502</v>
      </c>
      <c r="L81" s="454">
        <v>0.68492909182567596</v>
      </c>
      <c r="M81" s="452">
        <v>1.3908894934763401</v>
      </c>
      <c r="N81" s="452">
        <v>1.2534843105487601</v>
      </c>
      <c r="O81" s="452">
        <v>1.07</v>
      </c>
      <c r="P81" s="452">
        <v>1.3414180698068101</v>
      </c>
      <c r="Q81" s="452">
        <v>1.3490078469818101</v>
      </c>
      <c r="S81" s="455">
        <f t="shared" si="4"/>
        <v>0.95570703435155224</v>
      </c>
      <c r="T81" s="456">
        <f t="shared" si="5"/>
        <v>1.6892473610771199</v>
      </c>
      <c r="V81" s="456"/>
      <c r="W81" s="457"/>
      <c r="X81" s="457"/>
    </row>
    <row r="82" spans="2:24">
      <c r="B82" s="448" t="s">
        <v>612</v>
      </c>
      <c r="C82" s="449">
        <v>8</v>
      </c>
      <c r="D82" s="450">
        <v>0.94373863184759699</v>
      </c>
      <c r="E82" s="451">
        <v>0.39018575699689201</v>
      </c>
      <c r="F82" s="451">
        <v>6.2322052474713799E-2</v>
      </c>
      <c r="G82" s="452">
        <v>0.73008659019593602</v>
      </c>
      <c r="H82" s="451">
        <v>6.4392129906350806E-2</v>
      </c>
      <c r="I82" s="453">
        <v>0.78033395563769503</v>
      </c>
      <c r="J82" s="452">
        <v>0.48932323828475599</v>
      </c>
      <c r="K82" s="451">
        <v>0.41160878613229401</v>
      </c>
      <c r="L82" s="454">
        <v>0.82998630361021097</v>
      </c>
      <c r="M82" s="452">
        <v>0.77850734487942896</v>
      </c>
      <c r="N82" s="452">
        <v>1.57139450200744</v>
      </c>
      <c r="O82" s="452">
        <v>0.74</v>
      </c>
      <c r="P82" s="452">
        <v>0.80231747596426495</v>
      </c>
      <c r="Q82" s="452">
        <v>0.93451065569776504</v>
      </c>
      <c r="S82" s="455">
        <f t="shared" si="4"/>
        <v>0.93560787009364921</v>
      </c>
      <c r="T82" s="456">
        <f t="shared" si="5"/>
        <v>0.78033395563769503</v>
      </c>
      <c r="V82" s="456"/>
      <c r="W82" s="457"/>
      <c r="X82" s="457"/>
    </row>
    <row r="83" spans="2:24">
      <c r="B83" s="448" t="s">
        <v>613</v>
      </c>
      <c r="C83" s="449">
        <v>13</v>
      </c>
      <c r="D83" s="450">
        <v>1.32769253386487</v>
      </c>
      <c r="E83" s="451">
        <v>9.0140655527446004E-2</v>
      </c>
      <c r="F83" s="451">
        <v>0.106983677319148</v>
      </c>
      <c r="G83" s="452">
        <v>1.2436171828025999</v>
      </c>
      <c r="H83" s="451">
        <v>3.4958749410353498E-2</v>
      </c>
      <c r="I83" s="453">
        <v>1.28866738291523</v>
      </c>
      <c r="J83" s="452">
        <v>0.50846345784953795</v>
      </c>
      <c r="K83" s="451">
        <v>0.39374185918980198</v>
      </c>
      <c r="L83" s="454">
        <v>0.28270790197149398</v>
      </c>
      <c r="M83" s="452">
        <v>0.74128200359267904</v>
      </c>
      <c r="N83" s="452">
        <v>0.83360996909511798</v>
      </c>
      <c r="O83" s="452">
        <v>0.98</v>
      </c>
      <c r="P83" s="452">
        <v>1.1884916532310199</v>
      </c>
      <c r="Q83" s="452">
        <v>1.00641020176681</v>
      </c>
      <c r="S83" s="455">
        <f t="shared" si="4"/>
        <v>0.96504125058964618</v>
      </c>
      <c r="T83" s="456">
        <f t="shared" si="5"/>
        <v>1.28866738291523</v>
      </c>
      <c r="V83" s="456"/>
      <c r="W83" s="457"/>
      <c r="X83" s="457"/>
    </row>
    <row r="84" spans="2:24">
      <c r="B84" s="448" t="s">
        <v>614</v>
      </c>
      <c r="C84" s="449">
        <v>91</v>
      </c>
      <c r="D84" s="450">
        <v>1.3635757309643599</v>
      </c>
      <c r="E84" s="451">
        <v>4.8025373159782198E-2</v>
      </c>
      <c r="F84" s="451">
        <v>3.81657195507904E-2</v>
      </c>
      <c r="G84" s="452">
        <v>1.3161686143310301</v>
      </c>
      <c r="H84" s="451">
        <v>3.0718170662845001E-2</v>
      </c>
      <c r="I84" s="453">
        <v>1.3578802103729599</v>
      </c>
      <c r="J84" s="452">
        <v>0.68715521572849503</v>
      </c>
      <c r="K84" s="451">
        <v>0.58709543871584402</v>
      </c>
      <c r="L84" s="454">
        <v>0.69136710073580299</v>
      </c>
      <c r="M84" s="452">
        <v>1.2697947323690499</v>
      </c>
      <c r="N84" s="452">
        <v>1.2858744552797801</v>
      </c>
      <c r="O84" s="452">
        <v>0.96</v>
      </c>
      <c r="P84" s="452">
        <v>1.2075498828617499</v>
      </c>
      <c r="Q84" s="452">
        <v>1.2162198561767099</v>
      </c>
      <c r="S84" s="455">
        <f t="shared" si="4"/>
        <v>0.96928182933715989</v>
      </c>
      <c r="T84" s="456">
        <f t="shared" si="5"/>
        <v>1.3578802103729599</v>
      </c>
      <c r="V84" s="456"/>
      <c r="W84" s="457"/>
      <c r="X84" s="457"/>
    </row>
    <row r="85" spans="2:24">
      <c r="B85" s="448" t="s">
        <v>615</v>
      </c>
      <c r="C85" s="449">
        <v>33</v>
      </c>
      <c r="D85" s="450">
        <v>1.55130588771072</v>
      </c>
      <c r="E85" s="451">
        <v>0.17655464364745499</v>
      </c>
      <c r="F85" s="451">
        <v>2.36502638878981E-2</v>
      </c>
      <c r="G85" s="452">
        <v>1.3699081533300299</v>
      </c>
      <c r="H85" s="451">
        <v>3.2900020588293E-2</v>
      </c>
      <c r="I85" s="453">
        <v>1.4165114078105501</v>
      </c>
      <c r="J85" s="452">
        <v>0.66054972489796704</v>
      </c>
      <c r="K85" s="451">
        <v>0.55243837546789198</v>
      </c>
      <c r="L85" s="454">
        <v>0.91090042469556998</v>
      </c>
      <c r="M85" s="452">
        <v>1.3051434552841401</v>
      </c>
      <c r="N85" s="452">
        <v>1.5032034061310999</v>
      </c>
      <c r="O85" s="452">
        <v>0.75</v>
      </c>
      <c r="P85" s="452">
        <v>0.97506380366216405</v>
      </c>
      <c r="Q85" s="452">
        <v>1.18998441457759</v>
      </c>
      <c r="S85" s="455">
        <f t="shared" si="4"/>
        <v>0.96709997941170622</v>
      </c>
      <c r="T85" s="456">
        <f t="shared" si="5"/>
        <v>1.4165114078105501</v>
      </c>
      <c r="V85" s="456"/>
      <c r="W85" s="457"/>
      <c r="X85" s="457"/>
    </row>
    <row r="86" spans="2:24">
      <c r="B86" s="448" t="s">
        <v>616</v>
      </c>
      <c r="C86" s="449">
        <v>390</v>
      </c>
      <c r="D86" s="450">
        <v>1.46977124024783</v>
      </c>
      <c r="E86" s="451">
        <v>9.3648717927364705E-2</v>
      </c>
      <c r="F86" s="451">
        <v>3.39511435344746E-2</v>
      </c>
      <c r="G86" s="452">
        <v>1.3733143912117001</v>
      </c>
      <c r="H86" s="451">
        <v>2.80660771482741E-2</v>
      </c>
      <c r="I86" s="453">
        <v>1.4129709426977199</v>
      </c>
      <c r="J86" s="452">
        <v>0.61640664366461595</v>
      </c>
      <c r="K86" s="451">
        <v>0.52111210183577195</v>
      </c>
      <c r="L86" s="454">
        <v>0.32240159372913102</v>
      </c>
      <c r="M86" s="452">
        <v>1.16195964636076</v>
      </c>
      <c r="N86" s="452">
        <v>1.14916082686919</v>
      </c>
      <c r="O86" s="452">
        <v>0.89</v>
      </c>
      <c r="P86" s="452">
        <v>1.1224549396081001</v>
      </c>
      <c r="Q86" s="452">
        <v>1.14730927110715</v>
      </c>
      <c r="S86" s="455">
        <f t="shared" si="4"/>
        <v>0.97193392285172864</v>
      </c>
      <c r="T86" s="456">
        <f t="shared" si="5"/>
        <v>1.4129709426977199</v>
      </c>
      <c r="V86" s="456"/>
      <c r="W86" s="457"/>
      <c r="X86" s="457"/>
    </row>
    <row r="87" spans="2:24">
      <c r="B87" s="448" t="s">
        <v>617</v>
      </c>
      <c r="C87" s="449">
        <v>28</v>
      </c>
      <c r="D87" s="450">
        <v>1.3424843767996</v>
      </c>
      <c r="E87" s="451">
        <v>0.28595102522701599</v>
      </c>
      <c r="F87" s="451">
        <v>0.14954162997616199</v>
      </c>
      <c r="G87" s="452">
        <v>1.10541373391486</v>
      </c>
      <c r="H87" s="451">
        <v>8.83542785527094E-2</v>
      </c>
      <c r="I87" s="453">
        <v>1.21254749285715</v>
      </c>
      <c r="J87" s="452">
        <v>0.39412504778160201</v>
      </c>
      <c r="K87" s="451">
        <v>0.38298957011173301</v>
      </c>
      <c r="L87" s="454">
        <v>1.0458573404445899</v>
      </c>
      <c r="M87" s="452">
        <v>1.2948714024708099</v>
      </c>
      <c r="N87" s="452">
        <v>1.28556891382322</v>
      </c>
      <c r="O87" s="452">
        <v>0.78</v>
      </c>
      <c r="P87" s="452">
        <v>0.98255699807352503</v>
      </c>
      <c r="Q87" s="452">
        <v>1.1111089614449401</v>
      </c>
      <c r="S87" s="455">
        <f t="shared" si="4"/>
        <v>0.91164572144729061</v>
      </c>
      <c r="T87" s="456">
        <f t="shared" si="5"/>
        <v>1.21254749285715</v>
      </c>
      <c r="V87" s="456"/>
      <c r="W87" s="457"/>
      <c r="X87" s="457"/>
    </row>
    <row r="88" spans="2:24">
      <c r="B88" s="448" t="s">
        <v>618</v>
      </c>
      <c r="C88" s="449">
        <v>16</v>
      </c>
      <c r="D88" s="450">
        <v>1.0309737102652601</v>
      </c>
      <c r="E88" s="451">
        <v>0.65154486787819799</v>
      </c>
      <c r="F88" s="451">
        <v>3.83022831149821E-2</v>
      </c>
      <c r="G88" s="452">
        <v>0.69255212377664199</v>
      </c>
      <c r="H88" s="451">
        <v>2.6437164736179301E-2</v>
      </c>
      <c r="I88" s="453">
        <v>0.71135842360803703</v>
      </c>
      <c r="J88" s="452">
        <v>0.57247177566553797</v>
      </c>
      <c r="K88" s="451">
        <v>0.519210476889995</v>
      </c>
      <c r="L88" s="454">
        <v>0.69459138128869902</v>
      </c>
      <c r="M88" s="452">
        <v>0.706265833125164</v>
      </c>
      <c r="N88" s="452">
        <v>0.59690807402526502</v>
      </c>
      <c r="O88" s="452">
        <v>0.39</v>
      </c>
      <c r="P88" s="452">
        <v>0.62723011307829202</v>
      </c>
      <c r="Q88" s="452">
        <v>0.60635248876735204</v>
      </c>
      <c r="S88" s="455">
        <f t="shared" si="4"/>
        <v>0.97356283526381993</v>
      </c>
      <c r="T88" s="456">
        <f t="shared" si="5"/>
        <v>0.71135842360803703</v>
      </c>
      <c r="V88" s="456"/>
      <c r="W88" s="457"/>
      <c r="X88" s="457"/>
    </row>
    <row r="89" spans="2:24">
      <c r="B89" s="448" t="s">
        <v>619</v>
      </c>
      <c r="C89" s="449">
        <v>79</v>
      </c>
      <c r="D89" s="450">
        <v>1.2331194872073299</v>
      </c>
      <c r="E89" s="451">
        <v>0.1167832201855</v>
      </c>
      <c r="F89" s="451">
        <v>4.0571929767536E-2</v>
      </c>
      <c r="G89" s="452">
        <v>1.1338118389771801</v>
      </c>
      <c r="H89" s="451">
        <v>3.7911016791603698E-2</v>
      </c>
      <c r="I89" s="453">
        <v>1.17848957712427</v>
      </c>
      <c r="J89" s="452">
        <v>0.52733004943012696</v>
      </c>
      <c r="K89" s="451">
        <v>0.41348753948301498</v>
      </c>
      <c r="L89" s="454">
        <v>0.13611769117236699</v>
      </c>
      <c r="M89" s="452">
        <v>1.02285870175937</v>
      </c>
      <c r="N89" s="452">
        <v>0.83597865832287299</v>
      </c>
      <c r="O89" s="452">
        <v>0.83</v>
      </c>
      <c r="P89" s="452">
        <v>1.05686347985457</v>
      </c>
      <c r="Q89" s="452">
        <v>0.98483808341221701</v>
      </c>
      <c r="S89" s="455">
        <f t="shared" si="4"/>
        <v>0.96208898320839475</v>
      </c>
      <c r="T89" s="456">
        <f t="shared" si="5"/>
        <v>1.17848957712427</v>
      </c>
      <c r="V89" s="456"/>
      <c r="W89" s="457"/>
      <c r="X89" s="457"/>
    </row>
    <row r="90" spans="2:24">
      <c r="B90" s="464" t="s">
        <v>620</v>
      </c>
      <c r="C90" s="465">
        <v>49</v>
      </c>
      <c r="D90" s="466">
        <v>0.88226816528565999</v>
      </c>
      <c r="E90" s="467">
        <v>1.1771759919284801</v>
      </c>
      <c r="F90" s="467">
        <v>6.5368083078363698E-2</v>
      </c>
      <c r="G90" s="468">
        <v>0.46857326594137799</v>
      </c>
      <c r="H90" s="467">
        <v>1.12529862189026E-2</v>
      </c>
      <c r="I90" s="469">
        <v>0.47390612503545598</v>
      </c>
      <c r="J90" s="468">
        <v>0.55540262125092399</v>
      </c>
      <c r="K90" s="467">
        <v>0.55371695621592398</v>
      </c>
      <c r="L90" s="376">
        <v>0.22217299283269701</v>
      </c>
      <c r="M90" s="468">
        <v>0.74082603271700098</v>
      </c>
      <c r="N90" s="468">
        <v>0.66658422431944497</v>
      </c>
      <c r="O90" s="468">
        <v>0.42</v>
      </c>
      <c r="P90" s="468">
        <v>0.50915335116483895</v>
      </c>
      <c r="Q90" s="468">
        <v>0.56209394664734802</v>
      </c>
      <c r="S90" s="455">
        <f t="shared" si="4"/>
        <v>0.98874701378109642</v>
      </c>
      <c r="T90" s="456">
        <f t="shared" si="5"/>
        <v>0.47390612503545598</v>
      </c>
      <c r="V90" s="456"/>
      <c r="W90" s="457"/>
      <c r="X90" s="457"/>
    </row>
    <row r="91" spans="2:24">
      <c r="B91" s="448" t="s">
        <v>621</v>
      </c>
      <c r="C91" s="449">
        <v>15</v>
      </c>
      <c r="D91" s="450">
        <v>2.0004565028386398</v>
      </c>
      <c r="E91" s="451">
        <v>0.240554010599491</v>
      </c>
      <c r="F91" s="451">
        <v>9.8330509025201407E-2</v>
      </c>
      <c r="G91" s="452">
        <v>1.69470537227475</v>
      </c>
      <c r="H91" s="451">
        <v>2.8404796925753699E-2</v>
      </c>
      <c r="I91" s="453">
        <v>1.7442504521558899</v>
      </c>
      <c r="J91" s="452">
        <v>0.60634881653940098</v>
      </c>
      <c r="K91" s="451">
        <v>0.44059235658259699</v>
      </c>
      <c r="L91" s="454">
        <v>7.6952134781070894E-2</v>
      </c>
      <c r="M91" s="452">
        <v>1.12526435368134</v>
      </c>
      <c r="N91" s="452">
        <v>1.42632264127264</v>
      </c>
      <c r="O91" s="452">
        <v>0.61</v>
      </c>
      <c r="P91" s="452">
        <v>0.86224908484130203</v>
      </c>
      <c r="Q91" s="452">
        <v>1.15361730639024</v>
      </c>
      <c r="S91" s="455">
        <f t="shared" si="4"/>
        <v>0.97159520307424763</v>
      </c>
      <c r="T91" s="456">
        <f t="shared" si="5"/>
        <v>1.7442504521558899</v>
      </c>
      <c r="V91" s="456"/>
      <c r="W91" s="457"/>
      <c r="X91" s="457"/>
    </row>
    <row r="92" spans="2:24">
      <c r="B92" s="448" t="s">
        <v>622</v>
      </c>
      <c r="C92" s="449">
        <v>18</v>
      </c>
      <c r="D92" s="450">
        <v>1.0582657494304</v>
      </c>
      <c r="E92" s="451">
        <v>0.295101514874541</v>
      </c>
      <c r="F92" s="451">
        <v>0.163858166502029</v>
      </c>
      <c r="G92" s="452">
        <v>0.86648907126581398</v>
      </c>
      <c r="H92" s="451">
        <v>6.2843539003580903E-2</v>
      </c>
      <c r="I92" s="453">
        <v>0.92459381899211501</v>
      </c>
      <c r="J92" s="452">
        <v>0.47892861786444102</v>
      </c>
      <c r="K92" s="451">
        <v>0.28046286808958099</v>
      </c>
      <c r="L92" s="454">
        <v>0.26963358611053601</v>
      </c>
      <c r="M92" s="452">
        <v>0.89929754045085297</v>
      </c>
      <c r="N92" s="452">
        <v>0.95727016951115296</v>
      </c>
      <c r="O92" s="452">
        <v>0.79</v>
      </c>
      <c r="P92" s="452">
        <v>0.71581476967907198</v>
      </c>
      <c r="Q92" s="452">
        <v>0.85739525972663799</v>
      </c>
      <c r="S92" s="455">
        <f t="shared" si="4"/>
        <v>0.93715646099641881</v>
      </c>
      <c r="T92" s="456">
        <f t="shared" si="5"/>
        <v>0.92459381899211501</v>
      </c>
      <c r="V92" s="456"/>
      <c r="W92" s="457"/>
      <c r="X92" s="457"/>
    </row>
    <row r="93" spans="2:24">
      <c r="B93" s="448" t="s">
        <v>623</v>
      </c>
      <c r="C93" s="449">
        <v>4</v>
      </c>
      <c r="D93" s="450">
        <v>1.1078308621714501</v>
      </c>
      <c r="E93" s="451">
        <v>0.27451205147789498</v>
      </c>
      <c r="F93" s="451">
        <v>0.16567959676788799</v>
      </c>
      <c r="G93" s="452">
        <v>0.91868772344799599</v>
      </c>
      <c r="H93" s="451">
        <v>1.46869172564936E-2</v>
      </c>
      <c r="I93" s="453">
        <v>0.93238153388768696</v>
      </c>
      <c r="J93" s="452">
        <v>0.227191387159832</v>
      </c>
      <c r="K93" s="451">
        <v>0.163412690921062</v>
      </c>
      <c r="L93" s="454">
        <v>0.118108562668763</v>
      </c>
      <c r="M93" s="452">
        <v>2.08015182303313</v>
      </c>
      <c r="N93" s="452">
        <v>1.8919831806779599</v>
      </c>
      <c r="O93" s="452">
        <v>0.74</v>
      </c>
      <c r="P93" s="452">
        <v>0.64760822307726795</v>
      </c>
      <c r="Q93" s="452">
        <v>1.25842495213521</v>
      </c>
      <c r="S93" s="455">
        <f t="shared" si="4"/>
        <v>0.98531308274350649</v>
      </c>
      <c r="T93" s="456">
        <f t="shared" si="5"/>
        <v>0.93238153388768696</v>
      </c>
      <c r="V93" s="456"/>
      <c r="W93" s="457"/>
      <c r="X93" s="457"/>
    </row>
    <row r="94" spans="2:24">
      <c r="B94" s="448" t="s">
        <v>624</v>
      </c>
      <c r="C94" s="449">
        <v>35</v>
      </c>
      <c r="D94" s="450">
        <v>1.54512447088531</v>
      </c>
      <c r="E94" s="451">
        <v>0.43913586539321398</v>
      </c>
      <c r="F94" s="451">
        <v>0.14785932618179501</v>
      </c>
      <c r="G94" s="452">
        <v>1.1623141111058899</v>
      </c>
      <c r="H94" s="451">
        <v>5.7218077552789001E-2</v>
      </c>
      <c r="I94" s="453">
        <v>1.2328557468399799</v>
      </c>
      <c r="J94" s="452">
        <v>0.44581530141043602</v>
      </c>
      <c r="K94" s="451">
        <v>0.41171324567018802</v>
      </c>
      <c r="L94" s="454">
        <v>1.50038436889979</v>
      </c>
      <c r="M94" s="452">
        <v>0.71085656044871004</v>
      </c>
      <c r="N94" s="452">
        <v>1.04106679924552</v>
      </c>
      <c r="O94" s="452">
        <v>0.94</v>
      </c>
      <c r="P94" s="452">
        <v>1.27848817921723</v>
      </c>
      <c r="Q94" s="452">
        <v>1.0406534571502899</v>
      </c>
      <c r="S94" s="455">
        <f t="shared" si="4"/>
        <v>0.94278192244721226</v>
      </c>
      <c r="T94" s="456">
        <f t="shared" si="5"/>
        <v>1.2328557468399799</v>
      </c>
      <c r="V94" s="456"/>
      <c r="W94" s="457"/>
      <c r="X94" s="457"/>
    </row>
    <row r="95" spans="2:24">
      <c r="B95" s="448" t="s">
        <v>625</v>
      </c>
      <c r="C95" s="449">
        <v>15</v>
      </c>
      <c r="D95" s="450">
        <v>0.63513941960164799</v>
      </c>
      <c r="E95" s="451">
        <v>0.74175003502026204</v>
      </c>
      <c r="F95" s="451">
        <v>0.13203047748326199</v>
      </c>
      <c r="G95" s="452">
        <v>0.408105318747155</v>
      </c>
      <c r="H95" s="451">
        <v>3.3127957239668798E-3</v>
      </c>
      <c r="I95" s="453">
        <v>0.40946178198765198</v>
      </c>
      <c r="J95" s="452">
        <v>0.156084019471672</v>
      </c>
      <c r="K95" s="451">
        <v>0.14970762201017501</v>
      </c>
      <c r="L95" s="454">
        <v>9.3615784474097893E-2</v>
      </c>
      <c r="M95" s="452">
        <v>0.17456983944457</v>
      </c>
      <c r="N95" s="452">
        <v>0.189688416817615</v>
      </c>
      <c r="O95" s="452">
        <v>0.48</v>
      </c>
      <c r="P95" s="452">
        <v>0.59621878625724201</v>
      </c>
      <c r="Q95" s="452">
        <v>0.36998776490141599</v>
      </c>
      <c r="S95" s="455">
        <f t="shared" si="4"/>
        <v>0.99668720427603208</v>
      </c>
      <c r="T95" s="456">
        <f t="shared" si="5"/>
        <v>0.40946178198765198</v>
      </c>
      <c r="V95" s="456"/>
      <c r="W95" s="457"/>
      <c r="X95" s="457"/>
    </row>
    <row r="96" spans="2:24">
      <c r="B96" s="448" t="s">
        <v>626</v>
      </c>
      <c r="C96" s="449">
        <v>16</v>
      </c>
      <c r="D96" s="450">
        <v>1.1524153536245101</v>
      </c>
      <c r="E96" s="451">
        <v>0.43396475885206598</v>
      </c>
      <c r="F96" s="451">
        <v>8.4454307614074103E-2</v>
      </c>
      <c r="G96" s="452">
        <v>0.86943669074673002</v>
      </c>
      <c r="H96" s="451">
        <v>3.5347974849298798E-3</v>
      </c>
      <c r="I96" s="453">
        <v>0.87252087534243905</v>
      </c>
      <c r="J96" s="452">
        <v>0.36551319134525301</v>
      </c>
      <c r="K96" s="451">
        <v>0.41373294388583098</v>
      </c>
      <c r="L96" s="454">
        <v>0.13746671306527899</v>
      </c>
      <c r="M96" s="452">
        <v>0.32295708453677102</v>
      </c>
      <c r="N96" s="452">
        <v>0.56532125712405101</v>
      </c>
      <c r="O96" s="452">
        <v>0.56999999999999995</v>
      </c>
      <c r="P96" s="452">
        <v>0.61417995243827905</v>
      </c>
      <c r="Q96" s="452">
        <v>0.58899583388830801</v>
      </c>
      <c r="S96" s="455">
        <f t="shared" si="4"/>
        <v>0.99646520251507043</v>
      </c>
      <c r="T96" s="456">
        <f t="shared" si="5"/>
        <v>0.87252087534243905</v>
      </c>
      <c r="V96" s="456"/>
      <c r="W96" s="457"/>
      <c r="X96" s="457"/>
    </row>
    <row r="97" spans="2:24">
      <c r="B97" s="458" t="s">
        <v>627</v>
      </c>
      <c r="C97" s="459">
        <v>7165</v>
      </c>
      <c r="D97" s="460">
        <v>1.15727029418857</v>
      </c>
      <c r="E97" s="461">
        <v>0.53521978693922101</v>
      </c>
      <c r="F97" s="461">
        <v>7.5197838058014305E-2</v>
      </c>
      <c r="G97" s="462">
        <v>0.82578709814416495</v>
      </c>
      <c r="H97" s="461">
        <v>6.6630317524362603E-2</v>
      </c>
      <c r="I97" s="462">
        <v>0.88473743431849605</v>
      </c>
      <c r="J97" s="462">
        <v>0.48324484898520498</v>
      </c>
      <c r="K97" s="461">
        <v>0.41373294388583098</v>
      </c>
      <c r="L97" s="463">
        <v>0.19007882026188699</v>
      </c>
      <c r="M97" s="462">
        <v>0.80201739708391295</v>
      </c>
      <c r="N97" s="462">
        <v>0.82945377332234405</v>
      </c>
      <c r="O97" s="462">
        <v>0.75</v>
      </c>
      <c r="P97" s="462">
        <v>0.90938056763016895</v>
      </c>
      <c r="Q97" s="462">
        <v>0.83511783447098398</v>
      </c>
      <c r="S97" s="455">
        <f t="shared" si="4"/>
        <v>0.93336968247563767</v>
      </c>
      <c r="T97" s="456">
        <f t="shared" si="5"/>
        <v>0.88473743431849605</v>
      </c>
      <c r="V97" s="456"/>
      <c r="W97" s="457"/>
      <c r="X97" s="457"/>
    </row>
    <row r="98" spans="2:24">
      <c r="B98" s="470" t="s">
        <v>628</v>
      </c>
      <c r="C98" s="471">
        <v>5649</v>
      </c>
      <c r="D98" s="472">
        <v>1.29281702574395</v>
      </c>
      <c r="E98" s="473">
        <v>0.26398867839831802</v>
      </c>
      <c r="F98" s="473">
        <v>6.3846780495244698E-2</v>
      </c>
      <c r="G98" s="474">
        <v>1.07915374712488</v>
      </c>
      <c r="H98" s="473">
        <v>3.7516689774389801E-2</v>
      </c>
      <c r="I98" s="474">
        <v>1.1212181402625301</v>
      </c>
      <c r="J98" s="474">
        <v>0.55752138057019196</v>
      </c>
      <c r="K98" s="473">
        <v>0.47976813197581297</v>
      </c>
      <c r="L98" s="475">
        <v>0.18503610455341099</v>
      </c>
      <c r="M98" s="474">
        <v>0.99855894726946304</v>
      </c>
      <c r="N98" s="474">
        <v>1.0124816766890601</v>
      </c>
      <c r="O98" s="474">
        <v>0.86</v>
      </c>
      <c r="P98" s="474">
        <v>1.0402068170288501</v>
      </c>
      <c r="Q98" s="474">
        <v>1.0064931162499799</v>
      </c>
      <c r="S98" s="455">
        <f t="shared" si="4"/>
        <v>0.96248331022560796</v>
      </c>
      <c r="T98" s="456">
        <f t="shared" si="5"/>
        <v>1.1212181402625301</v>
      </c>
      <c r="V98" s="456"/>
      <c r="W98" s="457"/>
      <c r="X98" s="457"/>
    </row>
    <row r="99" spans="2:24" ht="15.75">
      <c r="B99" s="476"/>
      <c r="C99" s="476"/>
      <c r="D99" s="476"/>
      <c r="E99" s="476"/>
      <c r="F99" s="476"/>
      <c r="G99" s="476"/>
      <c r="H99" s="476"/>
      <c r="I99" s="476"/>
      <c r="J99" s="476"/>
      <c r="K99" s="476"/>
      <c r="L99" s="476"/>
      <c r="M99" s="476"/>
      <c r="N99" s="476"/>
      <c r="O99" s="476"/>
      <c r="P99" s="476"/>
      <c r="Q99" s="476"/>
    </row>
    <row r="100" spans="2:24" ht="15.75">
      <c r="B100" s="477" t="s">
        <v>629</v>
      </c>
      <c r="C100" s="476"/>
      <c r="D100" s="476"/>
      <c r="E100" s="476"/>
      <c r="F100" s="476"/>
      <c r="G100" s="476"/>
      <c r="H100" s="476"/>
      <c r="I100" s="476"/>
      <c r="J100" s="476"/>
      <c r="K100" s="476"/>
      <c r="L100" s="476"/>
      <c r="M100" s="476"/>
      <c r="N100" s="476"/>
      <c r="O100" s="476"/>
      <c r="P100" s="476"/>
      <c r="Q100" s="476"/>
    </row>
    <row r="101" spans="2:24" ht="15.75">
      <c r="B101" s="478" t="s">
        <v>630</v>
      </c>
      <c r="C101" s="476"/>
      <c r="D101" s="476"/>
      <c r="E101" s="476"/>
      <c r="F101" s="476"/>
      <c r="G101" s="476"/>
      <c r="H101" s="476"/>
      <c r="I101" s="476"/>
      <c r="J101" s="476"/>
      <c r="K101" s="476"/>
      <c r="L101" s="476"/>
      <c r="M101" s="476"/>
      <c r="N101" s="476"/>
      <c r="O101" s="476"/>
      <c r="P101" s="476"/>
      <c r="Q101" s="476"/>
    </row>
    <row r="102" spans="2:24" ht="15.75">
      <c r="B102" s="479" t="s">
        <v>631</v>
      </c>
      <c r="C102" s="476"/>
      <c r="D102" s="476"/>
      <c r="E102" s="476"/>
      <c r="F102" s="476"/>
      <c r="G102" s="476"/>
      <c r="H102" s="476"/>
      <c r="I102" s="476"/>
      <c r="J102" s="476"/>
      <c r="K102" s="476"/>
      <c r="L102" s="476"/>
      <c r="M102" s="476"/>
      <c r="N102" s="476"/>
      <c r="O102" s="476"/>
      <c r="P102" s="476"/>
      <c r="Q102" s="476"/>
    </row>
    <row r="103" spans="2:24" ht="15.75">
      <c r="B103" s="476"/>
      <c r="C103" s="476"/>
      <c r="D103" s="476"/>
      <c r="E103" s="476"/>
      <c r="F103" s="476"/>
      <c r="G103" s="476"/>
      <c r="H103" s="476"/>
      <c r="I103" s="476"/>
      <c r="J103" s="476"/>
      <c r="K103" s="476"/>
      <c r="L103" s="476"/>
      <c r="M103" s="476"/>
      <c r="N103" s="476"/>
      <c r="O103" s="476"/>
      <c r="P103" s="476"/>
      <c r="Q103" s="476"/>
    </row>
    <row r="104" spans="2:24" ht="15.75">
      <c r="B104" s="476"/>
      <c r="C104" s="476"/>
      <c r="D104" s="476"/>
      <c r="E104" s="476"/>
      <c r="F104" s="476"/>
      <c r="G104" s="476"/>
      <c r="H104" s="476"/>
      <c r="I104" s="476"/>
      <c r="J104" s="476"/>
      <c r="K104" s="476"/>
      <c r="L104" s="476"/>
      <c r="M104" s="476"/>
      <c r="N104" s="476"/>
      <c r="O104" s="476"/>
      <c r="P104" s="476"/>
      <c r="Q104" s="476"/>
    </row>
  </sheetData>
  <hyperlinks>
    <hyperlink ref="B101" r:id="rId1" xr:uid="{00000000-0004-0000-0700-000000000000}"/>
  </hyperlinks>
  <pageMargins left="0.7" right="0.7" top="0.75" bottom="0.75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MJ304"/>
  <sheetViews>
    <sheetView zoomScaleNormal="100" zoomScalePageLayoutView="60" workbookViewId="0"/>
  </sheetViews>
  <sheetFormatPr baseColWidth="10" defaultColWidth="11.5703125" defaultRowHeight="15"/>
  <cols>
    <col min="1" max="1" width="3.7109375" style="188" customWidth="1"/>
    <col min="2" max="2" width="7.42578125" style="188" customWidth="1"/>
    <col min="3" max="3" width="8.5703125" style="188" customWidth="1"/>
    <col min="4" max="4" width="7.42578125" style="188" customWidth="1"/>
    <col min="5" max="5" width="5.42578125" style="188" customWidth="1"/>
    <col min="6" max="6" width="7.42578125" style="188" customWidth="1"/>
    <col min="7" max="7" width="5.42578125" style="188" customWidth="1"/>
    <col min="8" max="8" width="7.42578125" style="188" customWidth="1"/>
    <col min="9" max="9" width="5.42578125" style="188" customWidth="1"/>
    <col min="10" max="10" width="7.42578125" style="188" customWidth="1"/>
    <col min="11" max="11" width="5.42578125" style="188" customWidth="1"/>
    <col min="12" max="12" width="7.42578125" style="188" customWidth="1"/>
    <col min="13" max="13" width="5.42578125" style="188" customWidth="1"/>
    <col min="14" max="14" width="7.42578125" style="188" customWidth="1"/>
    <col min="15" max="15" width="5.42578125" style="188" customWidth="1"/>
    <col min="16" max="16" width="7.42578125" style="188" customWidth="1"/>
    <col min="17" max="17" width="5.42578125" style="188" customWidth="1"/>
    <col min="18" max="18" width="7.42578125" style="188" customWidth="1"/>
    <col min="19" max="19" width="5.42578125" style="188" customWidth="1"/>
    <col min="20" max="20" width="7.42578125" style="188" customWidth="1"/>
    <col min="21" max="21" width="5.42578125" style="188" customWidth="1"/>
    <col min="22" max="22" width="7.42578125" style="188" customWidth="1"/>
    <col min="23" max="23" width="5.42578125" style="188" customWidth="1"/>
    <col min="24" max="24" width="6.5703125" style="188" customWidth="1"/>
    <col min="25" max="25" width="5" style="188" customWidth="1"/>
    <col min="26" max="26" width="6.5703125" style="188" customWidth="1"/>
    <col min="27" max="27" width="5" style="188" customWidth="1"/>
    <col min="28" max="28" width="6.5703125" style="188" customWidth="1"/>
    <col min="29" max="29" width="5" style="188" customWidth="1"/>
    <col min="30" max="30" width="6.5703125" style="188" customWidth="1"/>
    <col min="31" max="31" width="5" style="188" customWidth="1"/>
    <col min="32" max="32" width="8.5703125" style="188" customWidth="1"/>
    <col min="33" max="33" width="6.28515625" style="188" customWidth="1"/>
    <col min="34" max="34" width="8.5703125" style="188" customWidth="1"/>
    <col min="35" max="35" width="6.28515625" style="188" customWidth="1"/>
    <col min="36" max="36" width="8.5703125" style="188" customWidth="1"/>
    <col min="37" max="37" width="6.28515625" style="188" customWidth="1"/>
    <col min="38" max="38" width="8.5703125" style="188" customWidth="1"/>
    <col min="39" max="39" width="6.28515625" style="188" customWidth="1"/>
    <col min="40" max="40" width="8.5703125" style="188" customWidth="1"/>
    <col min="41" max="41" width="6.28515625" style="188" customWidth="1"/>
    <col min="42" max="42" width="8.5703125" style="188" customWidth="1"/>
    <col min="43" max="43" width="6.28515625" style="188" customWidth="1"/>
    <col min="44" max="44" width="8.5703125" style="188" customWidth="1"/>
    <col min="45" max="45" width="6.28515625" style="188" customWidth="1"/>
    <col min="46" max="46" width="8.5703125" style="188" customWidth="1"/>
    <col min="47" max="47" width="6.28515625" style="188" customWidth="1"/>
    <col min="48" max="48" width="8.5703125" style="188" customWidth="1"/>
    <col min="49" max="49" width="6.28515625" style="188" customWidth="1"/>
    <col min="50" max="50" width="8.5703125" style="188" customWidth="1"/>
    <col min="51" max="51" width="6.28515625" style="188" customWidth="1"/>
    <col min="52" max="52" width="8.5703125" style="188" customWidth="1"/>
    <col min="53" max="53" width="6.28515625" style="188" customWidth="1"/>
    <col min="54" max="1024" width="11.5703125" style="188"/>
  </cols>
  <sheetData>
    <row r="2" spans="2:31">
      <c r="B2" s="530" t="s">
        <v>632</v>
      </c>
      <c r="C2" s="53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33"/>
      <c r="AA2" s="433"/>
      <c r="AB2" s="433"/>
      <c r="AC2" s="433"/>
      <c r="AD2" s="433"/>
      <c r="AE2" s="433"/>
    </row>
    <row r="3" spans="2:31">
      <c r="B3" s="481" t="s">
        <v>633</v>
      </c>
      <c r="C3" s="482" t="s">
        <v>634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33"/>
      <c r="AA3" s="433"/>
      <c r="AB3" s="433"/>
      <c r="AC3" s="433"/>
      <c r="AD3" s="433"/>
      <c r="AE3" s="433"/>
    </row>
    <row r="4" spans="2:31">
      <c r="B4" s="483" t="s">
        <v>635</v>
      </c>
      <c r="C4" s="484">
        <f>SUMPRODUCT(L8:W8,L9:W9)/SUM(L9:W9)</f>
        <v>265.46414774611918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33"/>
      <c r="AA4" s="433"/>
      <c r="AB4" s="433"/>
      <c r="AC4" s="433"/>
      <c r="AD4" s="433"/>
      <c r="AE4" s="433"/>
    </row>
    <row r="5" spans="2:31">
      <c r="B5" s="485" t="s">
        <v>636</v>
      </c>
      <c r="C5" s="485">
        <v>2023</v>
      </c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33"/>
      <c r="AA5" s="433"/>
      <c r="AB5" s="433"/>
      <c r="AC5" s="433"/>
      <c r="AD5" s="433"/>
      <c r="AE5" s="433"/>
    </row>
    <row r="6" spans="2:31"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33"/>
      <c r="AA6" s="433"/>
      <c r="AB6" s="433"/>
      <c r="AC6" s="433"/>
      <c r="AD6" s="433"/>
      <c r="AE6" s="433"/>
    </row>
    <row r="7" spans="2:31">
      <c r="B7" s="531">
        <v>2013</v>
      </c>
      <c r="C7" s="531"/>
      <c r="D7" s="531">
        <v>2014</v>
      </c>
      <c r="E7" s="531"/>
      <c r="F7" s="531">
        <v>2015</v>
      </c>
      <c r="G7" s="531"/>
      <c r="H7" s="532">
        <v>2016</v>
      </c>
      <c r="I7" s="532"/>
      <c r="J7" s="531">
        <v>2017</v>
      </c>
      <c r="K7" s="531"/>
      <c r="L7" s="532">
        <v>2018</v>
      </c>
      <c r="M7" s="532"/>
      <c r="N7" s="532">
        <v>2019</v>
      </c>
      <c r="O7" s="532"/>
      <c r="P7" s="532">
        <v>2020</v>
      </c>
      <c r="Q7" s="532"/>
      <c r="R7" s="532">
        <v>2021</v>
      </c>
      <c r="S7" s="532"/>
      <c r="T7" s="532">
        <v>2022</v>
      </c>
      <c r="U7" s="532"/>
      <c r="V7" s="532">
        <v>2023</v>
      </c>
      <c r="W7" s="532"/>
    </row>
    <row r="8" spans="2:31">
      <c r="B8" s="486" t="s">
        <v>635</v>
      </c>
      <c r="C8" s="487">
        <f>AVERAGE(C11:C259)</f>
        <v>159.23293172690762</v>
      </c>
      <c r="D8" s="488"/>
      <c r="E8" s="487">
        <f>AVERAGE(E11:E259)</f>
        <v>166.16465863453814</v>
      </c>
      <c r="F8" s="488"/>
      <c r="G8" s="487">
        <f>AVERAGE(G11:G277)</f>
        <v>246.31086142322098</v>
      </c>
      <c r="H8" s="488"/>
      <c r="I8" s="487">
        <f>AVERAGE(I11:I260)</f>
        <v>281.33600000000001</v>
      </c>
      <c r="J8" s="489"/>
      <c r="K8" s="490">
        <f>AVERAGE(K11:K260)</f>
        <v>194.20169200000009</v>
      </c>
      <c r="L8" s="489"/>
      <c r="M8" s="490">
        <f>AVERAGE(M11:M259)</f>
        <v>183.65579919678706</v>
      </c>
      <c r="N8" s="489"/>
      <c r="O8" s="490">
        <f>AVERAGE(O260)</f>
        <v>161.35</v>
      </c>
      <c r="P8" s="489"/>
      <c r="Q8" s="490">
        <f>AVERAGE(Q11:Q260)</f>
        <v>262.91955999999976</v>
      </c>
      <c r="R8" s="489"/>
      <c r="S8" s="490">
        <f>AVERAGE(S11:S260)</f>
        <v>261.61985542168679</v>
      </c>
      <c r="T8" s="489"/>
      <c r="U8" s="490">
        <f>AVERAGE(U11:U259)</f>
        <v>394.90749799196789</v>
      </c>
      <c r="V8" s="489"/>
      <c r="W8" s="490">
        <f>AVERAGE(W11:W135)</f>
        <v>391.58128000000016</v>
      </c>
    </row>
    <row r="9" spans="2:31">
      <c r="B9" s="491" t="s">
        <v>637</v>
      </c>
      <c r="C9" s="492">
        <f>ROWS(C11:C259)</f>
        <v>249</v>
      </c>
      <c r="D9" s="493"/>
      <c r="E9" s="492">
        <f>ROWS(E11:E259)</f>
        <v>249</v>
      </c>
      <c r="F9" s="493"/>
      <c r="G9" s="492">
        <f>ROWS(G11:G277)</f>
        <v>267</v>
      </c>
      <c r="H9" s="493"/>
      <c r="I9" s="492">
        <f>ROWS(I11:I260)</f>
        <v>250</v>
      </c>
      <c r="J9" s="493"/>
      <c r="K9" s="492">
        <f>ROWS(K11:K260)</f>
        <v>250</v>
      </c>
      <c r="L9" s="493"/>
      <c r="M9" s="492">
        <f>ROWS(M11:M259)</f>
        <v>249</v>
      </c>
      <c r="N9" s="493"/>
      <c r="O9" s="492">
        <f>ROWS(O11:O260)</f>
        <v>250</v>
      </c>
      <c r="P9" s="493"/>
      <c r="Q9" s="492">
        <f>ROWS(Q11:Q260)</f>
        <v>250</v>
      </c>
      <c r="R9" s="493"/>
      <c r="S9" s="492">
        <f>ROWS(S11:S260)</f>
        <v>250</v>
      </c>
      <c r="T9" s="493"/>
      <c r="U9" s="492">
        <f>ROWS(U11:U259)</f>
        <v>249</v>
      </c>
      <c r="V9" s="493"/>
      <c r="W9" s="492">
        <f>ROWS(W11:W135)</f>
        <v>125</v>
      </c>
    </row>
    <row r="10" spans="2:31">
      <c r="B10" s="494" t="s">
        <v>633</v>
      </c>
      <c r="C10" s="494" t="s">
        <v>638</v>
      </c>
      <c r="D10" s="494" t="s">
        <v>633</v>
      </c>
      <c r="E10" s="494" t="s">
        <v>638</v>
      </c>
      <c r="F10" s="494" t="s">
        <v>633</v>
      </c>
      <c r="G10" s="494" t="s">
        <v>638</v>
      </c>
      <c r="H10" s="494" t="s">
        <v>633</v>
      </c>
      <c r="I10" s="494" t="s">
        <v>638</v>
      </c>
      <c r="J10" s="494" t="s">
        <v>633</v>
      </c>
      <c r="K10" s="494" t="s">
        <v>638</v>
      </c>
      <c r="L10" s="494" t="s">
        <v>633</v>
      </c>
      <c r="M10" s="494" t="s">
        <v>638</v>
      </c>
      <c r="N10" s="494" t="s">
        <v>633</v>
      </c>
      <c r="O10" s="494" t="s">
        <v>638</v>
      </c>
      <c r="P10" s="494" t="s">
        <v>633</v>
      </c>
      <c r="Q10" s="494" t="s">
        <v>638</v>
      </c>
      <c r="R10" s="494" t="s">
        <v>633</v>
      </c>
      <c r="S10" s="494" t="s">
        <v>638</v>
      </c>
      <c r="T10" s="494" t="s">
        <v>633</v>
      </c>
      <c r="U10" s="494" t="s">
        <v>638</v>
      </c>
      <c r="V10" s="494" t="s">
        <v>633</v>
      </c>
      <c r="W10" s="494" t="s">
        <v>638</v>
      </c>
    </row>
    <row r="11" spans="2:31">
      <c r="B11" s="495">
        <v>41276</v>
      </c>
      <c r="C11" s="496">
        <v>105</v>
      </c>
      <c r="D11" s="495">
        <v>41641</v>
      </c>
      <c r="E11" s="496">
        <v>172</v>
      </c>
      <c r="F11" s="495">
        <v>42006</v>
      </c>
      <c r="G11" s="496">
        <v>202</v>
      </c>
      <c r="H11" s="495">
        <v>42373</v>
      </c>
      <c r="I11" s="496">
        <v>326</v>
      </c>
      <c r="J11" s="495">
        <v>42738</v>
      </c>
      <c r="K11" s="497">
        <v>224.70699999999999</v>
      </c>
      <c r="L11" s="495">
        <v>43102</v>
      </c>
      <c r="M11" s="498">
        <v>167.84700000000001</v>
      </c>
      <c r="N11" s="495">
        <v>43467</v>
      </c>
      <c r="O11" s="498">
        <v>228.041</v>
      </c>
      <c r="P11" s="495">
        <v>43832</v>
      </c>
      <c r="Q11" s="498">
        <v>165.01300000000001</v>
      </c>
      <c r="R11" s="495">
        <v>44200</v>
      </c>
      <c r="S11" s="498">
        <v>208.053</v>
      </c>
      <c r="T11" s="495">
        <v>44564</v>
      </c>
      <c r="U11" s="498">
        <v>345.19200000000001</v>
      </c>
      <c r="V11" s="495">
        <v>44929</v>
      </c>
      <c r="W11" s="498">
        <v>367.99700000000001</v>
      </c>
    </row>
    <row r="12" spans="2:31">
      <c r="B12" s="495">
        <v>41277</v>
      </c>
      <c r="C12" s="496">
        <v>102</v>
      </c>
      <c r="D12" s="495">
        <v>41642</v>
      </c>
      <c r="E12" s="496">
        <v>170</v>
      </c>
      <c r="F12" s="495">
        <v>42009</v>
      </c>
      <c r="G12" s="496">
        <v>221</v>
      </c>
      <c r="H12" s="495">
        <v>42374</v>
      </c>
      <c r="I12" s="496">
        <v>320</v>
      </c>
      <c r="J12" s="495">
        <v>42739</v>
      </c>
      <c r="K12" s="497">
        <v>218.50700000000001</v>
      </c>
      <c r="L12" s="495">
        <v>43103</v>
      </c>
      <c r="M12" s="498">
        <v>165.846</v>
      </c>
      <c r="N12" s="495">
        <v>43468</v>
      </c>
      <c r="O12" s="498">
        <v>232.113</v>
      </c>
      <c r="P12" s="495">
        <v>43833</v>
      </c>
      <c r="Q12" s="498">
        <v>171.453</v>
      </c>
      <c r="R12" s="495">
        <v>44201</v>
      </c>
      <c r="S12" s="498">
        <v>208.91499999999999</v>
      </c>
      <c r="T12" s="495">
        <v>44565</v>
      </c>
      <c r="U12" s="498">
        <v>345.31400000000002</v>
      </c>
      <c r="V12" s="495">
        <v>44930</v>
      </c>
      <c r="W12" s="498">
        <v>366.33699999999999</v>
      </c>
    </row>
    <row r="13" spans="2:31">
      <c r="B13" s="495">
        <v>41278</v>
      </c>
      <c r="C13" s="496">
        <v>104</v>
      </c>
      <c r="D13" s="495">
        <v>41645</v>
      </c>
      <c r="E13" s="496">
        <v>173</v>
      </c>
      <c r="F13" s="495">
        <v>42010</v>
      </c>
      <c r="G13" s="496">
        <v>227</v>
      </c>
      <c r="H13" s="495">
        <v>42375</v>
      </c>
      <c r="I13" s="496">
        <v>332</v>
      </c>
      <c r="J13" s="495">
        <v>42740</v>
      </c>
      <c r="K13" s="497">
        <v>213.13</v>
      </c>
      <c r="L13" s="495">
        <v>43104</v>
      </c>
      <c r="M13" s="498">
        <v>165.333</v>
      </c>
      <c r="N13" s="495">
        <v>43469</v>
      </c>
      <c r="O13" s="498">
        <v>213.227</v>
      </c>
      <c r="P13" s="495">
        <v>43836</v>
      </c>
      <c r="Q13" s="498">
        <v>166.58799999999999</v>
      </c>
      <c r="R13" s="495">
        <v>44202</v>
      </c>
      <c r="S13" s="498">
        <v>209.40100000000001</v>
      </c>
      <c r="T13" s="495">
        <v>44566</v>
      </c>
      <c r="U13" s="498">
        <v>341.97800000000001</v>
      </c>
      <c r="V13" s="495">
        <v>44931</v>
      </c>
      <c r="W13" s="498">
        <v>375.51100000000002</v>
      </c>
    </row>
    <row r="14" spans="2:31">
      <c r="B14" s="495">
        <v>41281</v>
      </c>
      <c r="C14" s="496">
        <v>108</v>
      </c>
      <c r="D14" s="495">
        <v>41646</v>
      </c>
      <c r="E14" s="496">
        <v>175</v>
      </c>
      <c r="F14" s="495">
        <v>42011</v>
      </c>
      <c r="G14" s="496">
        <v>221</v>
      </c>
      <c r="H14" s="495">
        <v>42376</v>
      </c>
      <c r="I14" s="496">
        <v>346</v>
      </c>
      <c r="J14" s="495">
        <v>42741</v>
      </c>
      <c r="K14" s="497">
        <v>209.73099999999999</v>
      </c>
      <c r="L14" s="495">
        <v>43105</v>
      </c>
      <c r="M14" s="498">
        <v>162.80500000000001</v>
      </c>
      <c r="N14" s="495">
        <v>43472</v>
      </c>
      <c r="O14" s="498">
        <v>203.28800000000001</v>
      </c>
      <c r="P14" s="495">
        <v>43837</v>
      </c>
      <c r="Q14" s="498">
        <v>167.244</v>
      </c>
      <c r="R14" s="495">
        <v>44203</v>
      </c>
      <c r="S14" s="498">
        <v>209.97</v>
      </c>
      <c r="T14" s="495">
        <v>44567</v>
      </c>
      <c r="U14" s="498">
        <v>347.66</v>
      </c>
      <c r="V14" s="495">
        <v>44932</v>
      </c>
      <c r="W14" s="498">
        <v>381.61</v>
      </c>
    </row>
    <row r="15" spans="2:31">
      <c r="B15" s="495">
        <v>41282</v>
      </c>
      <c r="C15" s="496">
        <v>115</v>
      </c>
      <c r="D15" s="495">
        <v>41647</v>
      </c>
      <c r="E15" s="496">
        <v>174</v>
      </c>
      <c r="F15" s="495">
        <v>42012</v>
      </c>
      <c r="G15" s="496">
        <v>215</v>
      </c>
      <c r="H15" s="495">
        <v>42377</v>
      </c>
      <c r="I15" s="496">
        <v>355</v>
      </c>
      <c r="J15" s="495">
        <v>42744</v>
      </c>
      <c r="K15" s="497">
        <v>210.114</v>
      </c>
      <c r="L15" s="495">
        <v>43108</v>
      </c>
      <c r="M15" s="498">
        <v>163.25</v>
      </c>
      <c r="N15" s="495">
        <v>43473</v>
      </c>
      <c r="O15" s="498">
        <v>200.64099999999999</v>
      </c>
      <c r="P15" s="495">
        <v>43838</v>
      </c>
      <c r="Q15" s="498">
        <v>163.06399999999999</v>
      </c>
      <c r="R15" s="495">
        <v>44204</v>
      </c>
      <c r="S15" s="498">
        <v>206.042</v>
      </c>
      <c r="T15" s="495">
        <v>44568</v>
      </c>
      <c r="U15" s="498">
        <v>348.959</v>
      </c>
      <c r="V15" s="495">
        <v>44935</v>
      </c>
      <c r="W15" s="498">
        <v>382.11599999999999</v>
      </c>
    </row>
    <row r="16" spans="2:31">
      <c r="B16" s="495">
        <v>41283</v>
      </c>
      <c r="C16" s="496">
        <v>117</v>
      </c>
      <c r="D16" s="495">
        <v>41648</v>
      </c>
      <c r="E16" s="496">
        <v>173</v>
      </c>
      <c r="F16" s="495">
        <v>42013</v>
      </c>
      <c r="G16" s="496">
        <v>220</v>
      </c>
      <c r="H16" s="495">
        <v>42380</v>
      </c>
      <c r="I16" s="496">
        <v>354</v>
      </c>
      <c r="J16" s="495">
        <v>42745</v>
      </c>
      <c r="K16" s="497">
        <v>213.81899999999999</v>
      </c>
      <c r="L16" s="495">
        <v>43109</v>
      </c>
      <c r="M16" s="498">
        <v>161.30199999999999</v>
      </c>
      <c r="N16" s="495">
        <v>43474</v>
      </c>
      <c r="O16" s="498">
        <v>194.89400000000001</v>
      </c>
      <c r="P16" s="495">
        <v>43839</v>
      </c>
      <c r="Q16" s="498">
        <v>166.56299999999999</v>
      </c>
      <c r="R16" s="495">
        <v>44207</v>
      </c>
      <c r="S16" s="498">
        <v>209.911</v>
      </c>
      <c r="T16" s="495">
        <v>44571</v>
      </c>
      <c r="U16" s="498">
        <v>352.95100000000002</v>
      </c>
      <c r="V16" s="495">
        <v>44936</v>
      </c>
      <c r="W16" s="498">
        <v>384.685</v>
      </c>
    </row>
    <row r="17" spans="2:23">
      <c r="B17" s="495">
        <v>41284</v>
      </c>
      <c r="C17" s="496">
        <v>115</v>
      </c>
      <c r="D17" s="495">
        <v>41649</v>
      </c>
      <c r="E17" s="496">
        <v>179</v>
      </c>
      <c r="F17" s="495">
        <v>42016</v>
      </c>
      <c r="G17" s="496">
        <v>231</v>
      </c>
      <c r="H17" s="495">
        <v>42381</v>
      </c>
      <c r="I17" s="496">
        <v>365</v>
      </c>
      <c r="J17" s="495">
        <v>42746</v>
      </c>
      <c r="K17" s="497">
        <v>214.38800000000001</v>
      </c>
      <c r="L17" s="495">
        <v>43110</v>
      </c>
      <c r="M17" s="498">
        <v>163.78200000000001</v>
      </c>
      <c r="N17" s="495">
        <v>43475</v>
      </c>
      <c r="O17" s="498">
        <v>194.91200000000001</v>
      </c>
      <c r="P17" s="495">
        <v>43840</v>
      </c>
      <c r="Q17" s="498">
        <v>168.459</v>
      </c>
      <c r="R17" s="495">
        <v>44208</v>
      </c>
      <c r="S17" s="498">
        <v>216.83799999999999</v>
      </c>
      <c r="T17" s="495">
        <v>44572</v>
      </c>
      <c r="U17" s="498">
        <v>352.45800000000003</v>
      </c>
      <c r="V17" s="495">
        <v>44937</v>
      </c>
      <c r="W17" s="498">
        <v>380.25</v>
      </c>
    </row>
    <row r="18" spans="2:23">
      <c r="B18" s="495">
        <v>41285</v>
      </c>
      <c r="C18" s="496">
        <v>118</v>
      </c>
      <c r="D18" s="495">
        <v>41652</v>
      </c>
      <c r="E18" s="496">
        <v>181</v>
      </c>
      <c r="F18" s="495">
        <v>42017</v>
      </c>
      <c r="G18" s="496">
        <v>235</v>
      </c>
      <c r="H18" s="495">
        <v>42382</v>
      </c>
      <c r="I18" s="496">
        <v>381</v>
      </c>
      <c r="J18" s="495">
        <v>42747</v>
      </c>
      <c r="K18" s="497">
        <v>208.76</v>
      </c>
      <c r="L18" s="495">
        <v>43111</v>
      </c>
      <c r="M18" s="498">
        <v>164.446</v>
      </c>
      <c r="N18" s="495">
        <v>43841</v>
      </c>
      <c r="O18" s="498">
        <v>198.084</v>
      </c>
      <c r="P18" s="495">
        <v>43843</v>
      </c>
      <c r="Q18" s="498">
        <v>166.99799999999999</v>
      </c>
      <c r="R18" s="495">
        <v>44209</v>
      </c>
      <c r="S18" s="498">
        <v>219.26599999999999</v>
      </c>
      <c r="T18" s="495">
        <v>44573</v>
      </c>
      <c r="U18" s="498">
        <v>349.125</v>
      </c>
      <c r="V18" s="495">
        <v>44938</v>
      </c>
      <c r="W18" s="498">
        <v>376.59300000000002</v>
      </c>
    </row>
    <row r="19" spans="2:23">
      <c r="B19" s="495">
        <v>41288</v>
      </c>
      <c r="C19" s="496">
        <v>114</v>
      </c>
      <c r="D19" s="495">
        <v>41653</v>
      </c>
      <c r="E19" s="496">
        <v>177</v>
      </c>
      <c r="F19" s="495">
        <v>42018</v>
      </c>
      <c r="G19" s="496">
        <v>240</v>
      </c>
      <c r="H19" s="495">
        <v>42383</v>
      </c>
      <c r="I19" s="496">
        <v>377</v>
      </c>
      <c r="J19" s="495">
        <v>42748</v>
      </c>
      <c r="K19" s="497">
        <v>206.44800000000001</v>
      </c>
      <c r="L19" s="495">
        <v>43112</v>
      </c>
      <c r="M19" s="498">
        <v>163.77099999999999</v>
      </c>
      <c r="N19" s="495">
        <v>43479</v>
      </c>
      <c r="O19" s="498">
        <v>197.09700000000001</v>
      </c>
      <c r="P19" s="495">
        <v>43844</v>
      </c>
      <c r="Q19" s="498">
        <v>168.09700000000001</v>
      </c>
      <c r="R19" s="495">
        <v>44210</v>
      </c>
      <c r="S19" s="498">
        <v>215.75299999999999</v>
      </c>
      <c r="T19" s="495">
        <v>44574</v>
      </c>
      <c r="U19" s="498">
        <v>351.29199999999997</v>
      </c>
      <c r="V19" s="495">
        <v>44939</v>
      </c>
      <c r="W19" s="498">
        <v>369.80200000000002</v>
      </c>
    </row>
    <row r="20" spans="2:23">
      <c r="B20" s="495">
        <v>41289</v>
      </c>
      <c r="C20" s="496">
        <v>113</v>
      </c>
      <c r="D20" s="495">
        <v>41654</v>
      </c>
      <c r="E20" s="496">
        <v>170</v>
      </c>
      <c r="F20" s="495">
        <v>42019</v>
      </c>
      <c r="G20" s="496">
        <v>245</v>
      </c>
      <c r="H20" s="495">
        <v>42384</v>
      </c>
      <c r="I20" s="496">
        <v>401</v>
      </c>
      <c r="J20" s="495">
        <v>42752</v>
      </c>
      <c r="K20" s="497">
        <v>204.86799999999999</v>
      </c>
      <c r="L20" s="495">
        <v>43116</v>
      </c>
      <c r="M20" s="498">
        <v>162.06</v>
      </c>
      <c r="N20" s="495">
        <v>43480</v>
      </c>
      <c r="O20" s="498">
        <v>196.935</v>
      </c>
      <c r="P20" s="495">
        <v>43845</v>
      </c>
      <c r="Q20" s="498">
        <v>168.84800000000001</v>
      </c>
      <c r="R20" s="495">
        <v>44211</v>
      </c>
      <c r="S20" s="498">
        <v>220.42099999999999</v>
      </c>
      <c r="T20" s="495">
        <v>44575</v>
      </c>
      <c r="U20" s="498">
        <v>349.25299999999999</v>
      </c>
      <c r="V20" s="495">
        <v>44943</v>
      </c>
      <c r="W20" s="498">
        <v>367.55</v>
      </c>
    </row>
    <row r="21" spans="2:23">
      <c r="B21" s="495">
        <v>41290</v>
      </c>
      <c r="C21" s="496">
        <v>112</v>
      </c>
      <c r="D21" s="495">
        <v>41655</v>
      </c>
      <c r="E21" s="496">
        <v>175</v>
      </c>
      <c r="F21" s="495">
        <v>42020</v>
      </c>
      <c r="G21" s="496">
        <v>242</v>
      </c>
      <c r="H21" s="495">
        <v>42388</v>
      </c>
      <c r="I21" s="496">
        <v>406</v>
      </c>
      <c r="J21" s="495">
        <v>42753</v>
      </c>
      <c r="K21" s="497">
        <v>205.989</v>
      </c>
      <c r="L21" s="495">
        <v>43117</v>
      </c>
      <c r="M21" s="498">
        <v>157.227</v>
      </c>
      <c r="N21" s="495">
        <v>43481</v>
      </c>
      <c r="O21" s="498">
        <v>196.95599999999999</v>
      </c>
      <c r="P21" s="495">
        <v>43846</v>
      </c>
      <c r="Q21" s="498">
        <v>168.221</v>
      </c>
      <c r="R21" s="495">
        <v>44215</v>
      </c>
      <c r="S21" s="498">
        <v>221.29300000000001</v>
      </c>
      <c r="T21" s="495">
        <v>44579</v>
      </c>
      <c r="U21" s="498">
        <v>351.80099999999999</v>
      </c>
      <c r="V21" s="495">
        <v>44944</v>
      </c>
      <c r="W21" s="498">
        <v>365.79899999999998</v>
      </c>
    </row>
    <row r="22" spans="2:23">
      <c r="B22" s="495">
        <v>41291</v>
      </c>
      <c r="C22" s="496">
        <v>107</v>
      </c>
      <c r="D22" s="495">
        <v>41656</v>
      </c>
      <c r="E22" s="496">
        <v>177</v>
      </c>
      <c r="F22" s="495">
        <v>42024</v>
      </c>
      <c r="G22" s="496">
        <v>241</v>
      </c>
      <c r="H22" s="495">
        <v>42389</v>
      </c>
      <c r="I22" s="496">
        <v>421</v>
      </c>
      <c r="J22" s="495">
        <v>42754</v>
      </c>
      <c r="K22" s="497">
        <v>210.85900000000001</v>
      </c>
      <c r="L22" s="495">
        <v>43118</v>
      </c>
      <c r="M22" s="498">
        <v>157.387</v>
      </c>
      <c r="N22" s="495">
        <v>43482</v>
      </c>
      <c r="O22" s="498">
        <v>196.90799999999999</v>
      </c>
      <c r="P22" s="495">
        <v>43847</v>
      </c>
      <c r="Q22" s="498">
        <v>165.072</v>
      </c>
      <c r="R22" s="495">
        <v>44216</v>
      </c>
      <c r="S22" s="498">
        <v>221.41900000000001</v>
      </c>
      <c r="T22" s="495">
        <v>44580</v>
      </c>
      <c r="U22" s="498">
        <v>348.81200000000001</v>
      </c>
      <c r="V22" s="495">
        <v>44945</v>
      </c>
      <c r="W22" s="498">
        <v>365.50299999999999</v>
      </c>
    </row>
    <row r="23" spans="2:23">
      <c r="B23" s="495">
        <v>41292</v>
      </c>
      <c r="C23" s="496">
        <v>107</v>
      </c>
      <c r="D23" s="495">
        <v>41660</v>
      </c>
      <c r="E23" s="496">
        <v>180</v>
      </c>
      <c r="F23" s="495">
        <v>42025</v>
      </c>
      <c r="G23" s="496">
        <v>242</v>
      </c>
      <c r="H23" s="495">
        <v>42390</v>
      </c>
      <c r="I23" s="496">
        <v>411</v>
      </c>
      <c r="J23" s="495">
        <v>42755</v>
      </c>
      <c r="K23" s="497">
        <v>210.47</v>
      </c>
      <c r="L23" s="495">
        <v>43119</v>
      </c>
      <c r="M23" s="498">
        <v>156.36699999999999</v>
      </c>
      <c r="N23" s="495">
        <v>43483</v>
      </c>
      <c r="O23" s="498">
        <v>193.208</v>
      </c>
      <c r="P23" s="495" t="s">
        <v>639</v>
      </c>
      <c r="Q23" s="498">
        <v>170.41900000000001</v>
      </c>
      <c r="R23" s="495">
        <v>44217</v>
      </c>
      <c r="S23" s="498">
        <v>219.625</v>
      </c>
      <c r="T23" s="495">
        <v>44581</v>
      </c>
      <c r="U23" s="498">
        <v>348.01799999999997</v>
      </c>
      <c r="V23" s="495">
        <v>44946</v>
      </c>
      <c r="W23" s="498">
        <v>361.173</v>
      </c>
    </row>
    <row r="24" spans="2:23">
      <c r="B24" s="495">
        <v>41296</v>
      </c>
      <c r="C24" s="496">
        <v>109</v>
      </c>
      <c r="D24" s="495">
        <v>41661</v>
      </c>
      <c r="E24" s="496">
        <v>186</v>
      </c>
      <c r="F24" s="495">
        <v>42026</v>
      </c>
      <c r="G24" s="496">
        <v>238</v>
      </c>
      <c r="H24" s="495">
        <v>42391</v>
      </c>
      <c r="I24" s="496">
        <v>380</v>
      </c>
      <c r="J24" s="495">
        <v>42758</v>
      </c>
      <c r="K24" s="497">
        <v>209.49700000000001</v>
      </c>
      <c r="L24" s="495">
        <v>43122</v>
      </c>
      <c r="M24" s="498">
        <v>155.11199999999999</v>
      </c>
      <c r="N24" s="495">
        <v>43487</v>
      </c>
      <c r="O24" s="498">
        <v>197.41300000000001</v>
      </c>
      <c r="P24" s="495">
        <v>43852</v>
      </c>
      <c r="Q24" s="498">
        <v>170.327</v>
      </c>
      <c r="R24" s="495">
        <v>44218</v>
      </c>
      <c r="S24" s="498">
        <v>220.643</v>
      </c>
      <c r="T24" s="495">
        <v>44582</v>
      </c>
      <c r="U24" s="498">
        <v>359.18</v>
      </c>
      <c r="V24" s="495">
        <v>44950</v>
      </c>
      <c r="W24" s="498">
        <v>361.81799999999998</v>
      </c>
    </row>
    <row r="25" spans="2:23">
      <c r="B25" s="495">
        <v>41297</v>
      </c>
      <c r="C25" s="496">
        <v>113</v>
      </c>
      <c r="D25" s="495">
        <v>41662</v>
      </c>
      <c r="E25" s="496">
        <v>198</v>
      </c>
      <c r="F25" s="495">
        <v>42027</v>
      </c>
      <c r="G25" s="496">
        <v>230</v>
      </c>
      <c r="H25" s="495">
        <v>42394</v>
      </c>
      <c r="I25" s="496">
        <v>385</v>
      </c>
      <c r="J25" s="495">
        <v>42759</v>
      </c>
      <c r="K25" s="497">
        <v>210.149</v>
      </c>
      <c r="L25" s="495">
        <v>43123</v>
      </c>
      <c r="M25" s="498">
        <v>154.91900000000001</v>
      </c>
      <c r="N25" s="495">
        <v>43488</v>
      </c>
      <c r="O25" s="498">
        <v>197.18799999999999</v>
      </c>
      <c r="P25" s="495">
        <v>43853</v>
      </c>
      <c r="Q25" s="498">
        <v>173.81700000000001</v>
      </c>
      <c r="R25" s="495">
        <v>44221</v>
      </c>
      <c r="S25" s="498">
        <v>222.80799999999999</v>
      </c>
      <c r="T25" s="495">
        <v>44585</v>
      </c>
      <c r="U25" s="498">
        <v>363.94400000000002</v>
      </c>
      <c r="V25" s="495">
        <v>44951</v>
      </c>
      <c r="W25" s="498">
        <v>362.21600000000001</v>
      </c>
    </row>
    <row r="26" spans="2:23">
      <c r="B26" s="495">
        <v>41298</v>
      </c>
      <c r="C26" s="496">
        <v>113</v>
      </c>
      <c r="D26" s="495">
        <v>41663</v>
      </c>
      <c r="E26" s="496">
        <v>204</v>
      </c>
      <c r="F26" s="495">
        <v>42030</v>
      </c>
      <c r="G26" s="496">
        <v>231</v>
      </c>
      <c r="H26" s="495">
        <v>42395</v>
      </c>
      <c r="I26" s="496">
        <v>377</v>
      </c>
      <c r="J26" s="495">
        <v>42760</v>
      </c>
      <c r="K26" s="497">
        <v>206.874</v>
      </c>
      <c r="L26" s="495">
        <v>43124</v>
      </c>
      <c r="M26" s="498">
        <v>154.21799999999999</v>
      </c>
      <c r="N26" s="495">
        <v>43489</v>
      </c>
      <c r="O26" s="498">
        <v>197.07</v>
      </c>
      <c r="P26" s="495" t="s">
        <v>640</v>
      </c>
      <c r="Q26" s="498">
        <v>177.61</v>
      </c>
      <c r="R26" s="495">
        <v>44222</v>
      </c>
      <c r="S26" s="498">
        <v>221.71</v>
      </c>
      <c r="T26" s="495">
        <v>44586</v>
      </c>
      <c r="U26" s="498">
        <v>366.60599999999999</v>
      </c>
      <c r="V26" s="495">
        <v>44952</v>
      </c>
      <c r="W26" s="498">
        <v>358.34699999999998</v>
      </c>
    </row>
    <row r="27" spans="2:23">
      <c r="B27" s="495">
        <v>41299</v>
      </c>
      <c r="C27" s="496">
        <v>109</v>
      </c>
      <c r="D27" s="495">
        <v>41666</v>
      </c>
      <c r="E27" s="496">
        <v>205</v>
      </c>
      <c r="F27" s="495">
        <v>42031</v>
      </c>
      <c r="G27" s="496">
        <v>231</v>
      </c>
      <c r="H27" s="495">
        <v>42396</v>
      </c>
      <c r="I27" s="496">
        <v>372</v>
      </c>
      <c r="J27" s="495">
        <v>42761</v>
      </c>
      <c r="K27" s="497">
        <v>212.44900000000001</v>
      </c>
      <c r="L27" s="495">
        <v>43125</v>
      </c>
      <c r="M27" s="498">
        <v>154.804</v>
      </c>
      <c r="N27" s="495">
        <v>43490</v>
      </c>
      <c r="O27" s="498">
        <v>194.03</v>
      </c>
      <c r="P27" s="495" t="s">
        <v>641</v>
      </c>
      <c r="Q27" s="498">
        <v>182.58799999999999</v>
      </c>
      <c r="R27" s="495">
        <v>44223</v>
      </c>
      <c r="S27" s="498">
        <v>224.87899999999999</v>
      </c>
      <c r="T27" s="495">
        <v>44587</v>
      </c>
      <c r="U27" s="498">
        <v>361.90899999999999</v>
      </c>
      <c r="V27" s="495">
        <v>44953</v>
      </c>
      <c r="W27" s="498">
        <v>366.411</v>
      </c>
    </row>
    <row r="28" spans="2:23">
      <c r="B28" s="495">
        <v>41302</v>
      </c>
      <c r="C28" s="496">
        <v>113</v>
      </c>
      <c r="D28" s="495">
        <v>41667</v>
      </c>
      <c r="E28" s="496">
        <v>204</v>
      </c>
      <c r="F28" s="495">
        <v>42032</v>
      </c>
      <c r="G28" s="496">
        <v>238</v>
      </c>
      <c r="H28" s="495">
        <v>42397</v>
      </c>
      <c r="I28" s="496">
        <v>373</v>
      </c>
      <c r="J28" s="495">
        <v>42762</v>
      </c>
      <c r="K28" s="497">
        <v>209.38200000000001</v>
      </c>
      <c r="L28" s="495">
        <v>43126</v>
      </c>
      <c r="M28" s="498">
        <v>152.44800000000001</v>
      </c>
      <c r="N28" s="495">
        <v>43493</v>
      </c>
      <c r="O28" s="498">
        <v>195.80500000000001</v>
      </c>
      <c r="P28" s="495">
        <v>43858</v>
      </c>
      <c r="Q28" s="498">
        <v>176.67</v>
      </c>
      <c r="R28" s="495">
        <v>44224</v>
      </c>
      <c r="S28" s="498">
        <v>222.923</v>
      </c>
      <c r="T28" s="495">
        <v>44588</v>
      </c>
      <c r="U28" s="498">
        <v>373.01299999999998</v>
      </c>
      <c r="V28" s="495">
        <v>44956</v>
      </c>
      <c r="W28" s="498">
        <v>375.84</v>
      </c>
    </row>
    <row r="29" spans="2:23">
      <c r="B29" s="495">
        <v>41303</v>
      </c>
      <c r="C29" s="496">
        <v>117</v>
      </c>
      <c r="D29" s="495">
        <v>41668</v>
      </c>
      <c r="E29" s="496">
        <v>211</v>
      </c>
      <c r="F29" s="495">
        <v>42033</v>
      </c>
      <c r="G29" s="496">
        <v>232</v>
      </c>
      <c r="H29" s="495">
        <v>42398</v>
      </c>
      <c r="I29" s="496">
        <v>381</v>
      </c>
      <c r="J29" s="495">
        <v>42765</v>
      </c>
      <c r="K29" s="497">
        <v>210.70099999999999</v>
      </c>
      <c r="L29" s="495">
        <v>43129</v>
      </c>
      <c r="M29" s="498">
        <v>153.62899999999999</v>
      </c>
      <c r="N29" s="495">
        <v>43494</v>
      </c>
      <c r="O29" s="498">
        <v>198.995</v>
      </c>
      <c r="P29" s="495">
        <v>43859</v>
      </c>
      <c r="Q29" s="498">
        <v>177.75</v>
      </c>
      <c r="R29" s="495">
        <v>44225</v>
      </c>
      <c r="S29" s="498">
        <v>218.691</v>
      </c>
      <c r="T29" s="495">
        <v>44589</v>
      </c>
      <c r="U29" s="498">
        <v>377.08100000000002</v>
      </c>
      <c r="V29" s="495">
        <v>44957</v>
      </c>
      <c r="W29" s="498">
        <v>375.67500000000001</v>
      </c>
    </row>
    <row r="30" spans="2:23">
      <c r="B30" s="495">
        <v>41304</v>
      </c>
      <c r="C30" s="496">
        <v>124</v>
      </c>
      <c r="D30" s="495">
        <v>41669</v>
      </c>
      <c r="E30" s="496">
        <v>212</v>
      </c>
      <c r="F30" s="495">
        <v>42034</v>
      </c>
      <c r="G30" s="496">
        <v>229</v>
      </c>
      <c r="H30" s="495">
        <v>42401</v>
      </c>
      <c r="I30" s="496">
        <v>385</v>
      </c>
      <c r="J30" s="495">
        <v>42766</v>
      </c>
      <c r="K30" s="497">
        <v>209.19200000000001</v>
      </c>
      <c r="L30" s="495">
        <v>43130</v>
      </c>
      <c r="M30" s="498">
        <v>153.07599999999999</v>
      </c>
      <c r="N30" s="495">
        <v>43495</v>
      </c>
      <c r="O30" s="498">
        <v>194.845</v>
      </c>
      <c r="P30" s="495">
        <v>43860</v>
      </c>
      <c r="Q30" s="498">
        <v>174.93100000000001</v>
      </c>
      <c r="R30" s="495">
        <v>44228</v>
      </c>
      <c r="S30" s="498">
        <v>219.46</v>
      </c>
      <c r="T30" s="495">
        <v>44592</v>
      </c>
      <c r="U30" s="498">
        <v>373.54500000000002</v>
      </c>
      <c r="V30" s="495">
        <v>44958</v>
      </c>
      <c r="W30" s="498">
        <v>371.02600000000001</v>
      </c>
    </row>
    <row r="31" spans="2:23">
      <c r="B31" s="495">
        <v>41305</v>
      </c>
      <c r="C31" s="496">
        <v>132</v>
      </c>
      <c r="D31" s="495">
        <v>41670</v>
      </c>
      <c r="E31" s="496">
        <v>210</v>
      </c>
      <c r="F31" s="495">
        <v>42037</v>
      </c>
      <c r="G31" s="496">
        <v>219</v>
      </c>
      <c r="H31" s="495">
        <v>42402</v>
      </c>
      <c r="I31" s="496">
        <v>406</v>
      </c>
      <c r="J31" s="495">
        <v>42767</v>
      </c>
      <c r="K31" s="497">
        <v>203.322</v>
      </c>
      <c r="L31" s="495">
        <v>43131</v>
      </c>
      <c r="M31" s="498">
        <v>152.797</v>
      </c>
      <c r="N31" s="495">
        <v>43496</v>
      </c>
      <c r="O31" s="498">
        <v>190.86500000000001</v>
      </c>
      <c r="P31" s="495">
        <v>43861</v>
      </c>
      <c r="Q31" s="498">
        <v>175.679</v>
      </c>
      <c r="R31" s="495">
        <v>44229</v>
      </c>
      <c r="S31" s="498">
        <v>215.22399999999999</v>
      </c>
      <c r="T31" s="495">
        <v>44593</v>
      </c>
      <c r="U31" s="498">
        <v>370.505</v>
      </c>
      <c r="V31" s="495">
        <v>44959</v>
      </c>
      <c r="W31" s="498">
        <v>360.43200000000002</v>
      </c>
    </row>
    <row r="32" spans="2:23">
      <c r="B32" s="495">
        <v>41306</v>
      </c>
      <c r="C32" s="496">
        <v>129</v>
      </c>
      <c r="D32" s="495">
        <v>41673</v>
      </c>
      <c r="E32" s="496">
        <v>217</v>
      </c>
      <c r="F32" s="495">
        <v>42038</v>
      </c>
      <c r="G32" s="496">
        <v>212</v>
      </c>
      <c r="H32" s="495">
        <v>42403</v>
      </c>
      <c r="I32" s="496">
        <v>399</v>
      </c>
      <c r="J32" s="495">
        <v>42768</v>
      </c>
      <c r="K32" s="497">
        <v>197.095</v>
      </c>
      <c r="L32" s="495">
        <v>43132</v>
      </c>
      <c r="M32" s="498">
        <v>152.94200000000001</v>
      </c>
      <c r="N32" s="495">
        <v>43497</v>
      </c>
      <c r="O32" s="498">
        <v>185.52</v>
      </c>
      <c r="P32" s="495">
        <v>43864</v>
      </c>
      <c r="Q32" s="498">
        <v>176.31299999999999</v>
      </c>
      <c r="R32" s="495">
        <v>44230</v>
      </c>
      <c r="S32" s="498">
        <v>215.57499999999999</v>
      </c>
      <c r="T32" s="495">
        <v>44594</v>
      </c>
      <c r="U32" s="498">
        <v>365.68799999999999</v>
      </c>
      <c r="V32" s="495">
        <v>44960</v>
      </c>
      <c r="W32" s="498">
        <v>359.02100000000002</v>
      </c>
    </row>
    <row r="33" spans="2:23">
      <c r="B33" s="495">
        <v>41309</v>
      </c>
      <c r="C33" s="496">
        <v>133</v>
      </c>
      <c r="D33" s="495">
        <v>41674</v>
      </c>
      <c r="E33" s="496">
        <v>206</v>
      </c>
      <c r="F33" s="495">
        <v>42039</v>
      </c>
      <c r="G33" s="496">
        <v>218</v>
      </c>
      <c r="H33" s="495">
        <v>42404</v>
      </c>
      <c r="I33" s="496">
        <v>399</v>
      </c>
      <c r="J33" s="495">
        <v>42769</v>
      </c>
      <c r="K33" s="497">
        <v>190.49700000000001</v>
      </c>
      <c r="L33" s="495">
        <v>43133</v>
      </c>
      <c r="M33" s="498">
        <v>157.63399999999999</v>
      </c>
      <c r="N33" s="495">
        <v>43500</v>
      </c>
      <c r="O33" s="498">
        <v>182.297</v>
      </c>
      <c r="P33" s="495">
        <v>43865</v>
      </c>
      <c r="Q33" s="498">
        <v>172.51300000000001</v>
      </c>
      <c r="R33" s="495">
        <v>44231</v>
      </c>
      <c r="S33" s="498">
        <v>214.922</v>
      </c>
      <c r="T33" s="495">
        <v>44595</v>
      </c>
      <c r="U33" s="498">
        <v>363.10500000000002</v>
      </c>
      <c r="V33" s="495">
        <v>44963</v>
      </c>
      <c r="W33" s="498">
        <v>361.40899999999999</v>
      </c>
    </row>
    <row r="34" spans="2:23">
      <c r="B34" s="495">
        <v>41310</v>
      </c>
      <c r="C34" s="496">
        <v>127</v>
      </c>
      <c r="D34" s="495">
        <v>41675</v>
      </c>
      <c r="E34" s="496">
        <v>199</v>
      </c>
      <c r="F34" s="495">
        <v>42040</v>
      </c>
      <c r="G34" s="496">
        <v>214</v>
      </c>
      <c r="H34" s="495">
        <v>42405</v>
      </c>
      <c r="I34" s="496">
        <v>400</v>
      </c>
      <c r="J34" s="495">
        <v>42772</v>
      </c>
      <c r="K34" s="497">
        <v>192.732</v>
      </c>
      <c r="L34" s="495">
        <v>43136</v>
      </c>
      <c r="M34" s="498">
        <v>171.17500000000001</v>
      </c>
      <c r="N34" s="495">
        <v>43501</v>
      </c>
      <c r="O34" s="498">
        <v>182.27600000000001</v>
      </c>
      <c r="P34" s="495">
        <v>43866</v>
      </c>
      <c r="Q34" s="498">
        <v>167.363</v>
      </c>
      <c r="R34" s="495">
        <v>44232</v>
      </c>
      <c r="S34" s="498">
        <v>210.65100000000001</v>
      </c>
      <c r="T34" s="495">
        <v>44596</v>
      </c>
      <c r="U34" s="498">
        <v>364.11399999999998</v>
      </c>
      <c r="V34" s="495">
        <v>44964</v>
      </c>
      <c r="W34" s="498">
        <v>362.18200000000002</v>
      </c>
    </row>
    <row r="35" spans="2:23">
      <c r="B35" s="495">
        <v>41311</v>
      </c>
      <c r="C35" s="496">
        <v>129</v>
      </c>
      <c r="D35" s="495">
        <v>41676</v>
      </c>
      <c r="E35" s="496">
        <v>194</v>
      </c>
      <c r="F35" s="495">
        <v>42041</v>
      </c>
      <c r="G35" s="496">
        <v>212</v>
      </c>
      <c r="H35" s="495">
        <v>42408</v>
      </c>
      <c r="I35" s="496">
        <v>428</v>
      </c>
      <c r="J35" s="495">
        <v>42773</v>
      </c>
      <c r="K35" s="497">
        <v>196.52199999999999</v>
      </c>
      <c r="L35" s="495">
        <v>43137</v>
      </c>
      <c r="M35" s="498">
        <v>166.58699999999999</v>
      </c>
      <c r="N35" s="495">
        <v>43502</v>
      </c>
      <c r="O35" s="498">
        <v>185.732</v>
      </c>
      <c r="P35" s="495">
        <v>43867</v>
      </c>
      <c r="Q35" s="498">
        <v>167.64599999999999</v>
      </c>
      <c r="R35" s="495">
        <v>44235</v>
      </c>
      <c r="S35" s="498">
        <v>211.29</v>
      </c>
      <c r="T35" s="495">
        <v>44599</v>
      </c>
      <c r="U35" s="498">
        <v>366.61700000000002</v>
      </c>
      <c r="V35" s="495">
        <v>44965</v>
      </c>
      <c r="W35" s="498">
        <v>367.78899999999999</v>
      </c>
    </row>
    <row r="36" spans="2:23">
      <c r="B36" s="495">
        <v>41312</v>
      </c>
      <c r="C36" s="496">
        <v>125</v>
      </c>
      <c r="D36" s="495">
        <v>41677</v>
      </c>
      <c r="E36" s="496">
        <v>191</v>
      </c>
      <c r="F36" s="495">
        <v>42044</v>
      </c>
      <c r="G36" s="496">
        <v>212</v>
      </c>
      <c r="H36" s="495">
        <v>42409</v>
      </c>
      <c r="I36" s="496">
        <v>430</v>
      </c>
      <c r="J36" s="495">
        <v>42774</v>
      </c>
      <c r="K36" s="497">
        <v>205.23699999999999</v>
      </c>
      <c r="L36" s="495">
        <v>43138</v>
      </c>
      <c r="M36" s="498">
        <v>159.071</v>
      </c>
      <c r="N36" s="495">
        <v>43503</v>
      </c>
      <c r="O36" s="498">
        <v>193.33099999999999</v>
      </c>
      <c r="P36" s="495">
        <v>43868</v>
      </c>
      <c r="Q36" s="498">
        <v>170.619</v>
      </c>
      <c r="R36" s="495">
        <v>44236</v>
      </c>
      <c r="S36" s="498">
        <v>210.797</v>
      </c>
      <c r="T36" s="495">
        <v>44600</v>
      </c>
      <c r="U36" s="498">
        <v>360.77199999999999</v>
      </c>
      <c r="V36" s="495">
        <v>44966</v>
      </c>
      <c r="W36" s="498">
        <v>370.87400000000002</v>
      </c>
    </row>
    <row r="37" spans="2:23">
      <c r="B37" s="495">
        <v>41313</v>
      </c>
      <c r="C37" s="496">
        <v>122</v>
      </c>
      <c r="D37" s="495">
        <v>41680</v>
      </c>
      <c r="E37" s="496">
        <v>194</v>
      </c>
      <c r="F37" s="495">
        <v>42045</v>
      </c>
      <c r="G37" s="496">
        <v>218</v>
      </c>
      <c r="H37" s="495">
        <v>42410</v>
      </c>
      <c r="I37" s="496">
        <v>422</v>
      </c>
      <c r="J37" s="495">
        <v>42775</v>
      </c>
      <c r="K37" s="497">
        <v>200.119</v>
      </c>
      <c r="L37" s="495">
        <v>43139</v>
      </c>
      <c r="M37" s="498">
        <v>176.55</v>
      </c>
      <c r="N37" s="495">
        <v>43504</v>
      </c>
      <c r="O37" s="498">
        <v>194.01599999999999</v>
      </c>
      <c r="P37" s="495">
        <v>43871</v>
      </c>
      <c r="Q37" s="498">
        <v>172.721</v>
      </c>
      <c r="R37" s="495">
        <v>44237</v>
      </c>
      <c r="S37" s="498">
        <v>211.5</v>
      </c>
      <c r="T37" s="495">
        <v>44601</v>
      </c>
      <c r="U37" s="498">
        <v>352.661</v>
      </c>
      <c r="V37" s="495">
        <v>44967</v>
      </c>
      <c r="W37" s="498">
        <v>379.14800000000002</v>
      </c>
    </row>
    <row r="38" spans="2:23">
      <c r="B38" s="495">
        <v>41316</v>
      </c>
      <c r="C38" s="496">
        <v>123</v>
      </c>
      <c r="D38" s="495">
        <v>41681</v>
      </c>
      <c r="E38" s="496">
        <v>192</v>
      </c>
      <c r="F38" s="495">
        <v>42046</v>
      </c>
      <c r="G38" s="496">
        <v>217</v>
      </c>
      <c r="H38" s="495">
        <v>42411</v>
      </c>
      <c r="I38" s="496">
        <v>436</v>
      </c>
      <c r="J38" s="495">
        <v>42776</v>
      </c>
      <c r="K38" s="497">
        <v>197.619</v>
      </c>
      <c r="L38" s="495">
        <v>43140</v>
      </c>
      <c r="M38" s="498">
        <v>189.46600000000001</v>
      </c>
      <c r="N38" s="495">
        <v>43507</v>
      </c>
      <c r="O38" s="498">
        <v>197.69499999999999</v>
      </c>
      <c r="P38" s="495">
        <v>43872</v>
      </c>
      <c r="Q38" s="498">
        <v>168.34800000000001</v>
      </c>
      <c r="R38" s="495">
        <v>44238</v>
      </c>
      <c r="S38" s="498">
        <v>208.45400000000001</v>
      </c>
      <c r="T38" s="495">
        <v>44602</v>
      </c>
      <c r="U38" s="498">
        <v>350.26</v>
      </c>
      <c r="V38" s="495">
        <v>44970</v>
      </c>
      <c r="W38" s="498">
        <v>379.39299999999997</v>
      </c>
    </row>
    <row r="39" spans="2:23">
      <c r="B39" s="495">
        <v>41317</v>
      </c>
      <c r="C39" s="496">
        <v>123</v>
      </c>
      <c r="D39" s="495">
        <v>41682</v>
      </c>
      <c r="E39" s="496">
        <v>189</v>
      </c>
      <c r="F39" s="495">
        <v>42047</v>
      </c>
      <c r="G39" s="496">
        <v>214</v>
      </c>
      <c r="H39" s="495">
        <v>42412</v>
      </c>
      <c r="I39" s="496">
        <v>414</v>
      </c>
      <c r="J39" s="495">
        <v>42779</v>
      </c>
      <c r="K39" s="497">
        <v>194.67599999999999</v>
      </c>
      <c r="L39" s="495">
        <v>43143</v>
      </c>
      <c r="M39" s="498">
        <v>181.964</v>
      </c>
      <c r="N39" s="495">
        <v>43508</v>
      </c>
      <c r="O39" s="498">
        <v>194.28100000000001</v>
      </c>
      <c r="P39" s="495">
        <v>43873</v>
      </c>
      <c r="Q39" s="498">
        <v>165.09899999999999</v>
      </c>
      <c r="R39" s="495">
        <v>44239</v>
      </c>
      <c r="S39" s="498">
        <v>206.941</v>
      </c>
      <c r="T39" s="495">
        <v>44603</v>
      </c>
      <c r="U39" s="498">
        <v>365.065</v>
      </c>
      <c r="V39" s="495">
        <v>44971</v>
      </c>
      <c r="W39" s="498">
        <v>379.08300000000003</v>
      </c>
    </row>
    <row r="40" spans="2:23">
      <c r="B40" s="495">
        <v>41318</v>
      </c>
      <c r="C40" s="496">
        <v>124</v>
      </c>
      <c r="D40" s="495">
        <v>41683</v>
      </c>
      <c r="E40" s="496">
        <v>187</v>
      </c>
      <c r="F40" s="495">
        <v>42048</v>
      </c>
      <c r="G40" s="496">
        <v>207</v>
      </c>
      <c r="H40" s="495">
        <v>42416</v>
      </c>
      <c r="I40" s="496">
        <v>407</v>
      </c>
      <c r="J40" s="495">
        <v>42780</v>
      </c>
      <c r="K40" s="497">
        <v>192.80199999999999</v>
      </c>
      <c r="L40" s="495">
        <v>43144</v>
      </c>
      <c r="M40" s="498">
        <v>187.07900000000001</v>
      </c>
      <c r="N40" s="495">
        <v>43509</v>
      </c>
      <c r="O40" s="498">
        <v>191.18700000000001</v>
      </c>
      <c r="P40" s="495">
        <v>43874</v>
      </c>
      <c r="Q40" s="498">
        <v>165.452</v>
      </c>
      <c r="R40" s="495">
        <v>44243</v>
      </c>
      <c r="S40" s="498">
        <v>208.10499999999999</v>
      </c>
      <c r="T40" s="495">
        <v>44606</v>
      </c>
      <c r="U40" s="498">
        <v>365.99700000000001</v>
      </c>
      <c r="V40" s="495">
        <v>44972</v>
      </c>
      <c r="W40" s="498">
        <v>388.01100000000002</v>
      </c>
    </row>
    <row r="41" spans="2:23">
      <c r="B41" s="495">
        <v>41319</v>
      </c>
      <c r="C41" s="496">
        <v>127</v>
      </c>
      <c r="D41" s="495">
        <v>41684</v>
      </c>
      <c r="E41" s="496">
        <v>185</v>
      </c>
      <c r="F41" s="495">
        <v>42052</v>
      </c>
      <c r="G41" s="496">
        <v>199</v>
      </c>
      <c r="H41" s="495">
        <v>42417</v>
      </c>
      <c r="I41" s="496">
        <v>385</v>
      </c>
      <c r="J41" s="495">
        <v>42781</v>
      </c>
      <c r="K41" s="497">
        <v>197.55799999999999</v>
      </c>
      <c r="L41" s="495">
        <v>43145</v>
      </c>
      <c r="M41" s="498">
        <v>183.74199999999999</v>
      </c>
      <c r="N41" s="495">
        <v>43510</v>
      </c>
      <c r="O41" s="498">
        <v>195.55199999999999</v>
      </c>
      <c r="P41" s="495">
        <v>43875</v>
      </c>
      <c r="Q41" s="498">
        <v>164.62700000000001</v>
      </c>
      <c r="R41" s="495">
        <v>44244</v>
      </c>
      <c r="S41" s="498">
        <v>209.77199999999999</v>
      </c>
      <c r="T41" s="495">
        <v>44607</v>
      </c>
      <c r="U41" s="498">
        <v>360.34</v>
      </c>
      <c r="V41" s="495">
        <v>44973</v>
      </c>
      <c r="W41" s="498">
        <v>388.84500000000003</v>
      </c>
    </row>
    <row r="42" spans="2:23">
      <c r="B42" s="495">
        <v>41320</v>
      </c>
      <c r="C42" s="496">
        <v>128</v>
      </c>
      <c r="D42" s="495">
        <v>41688</v>
      </c>
      <c r="E42" s="496">
        <v>188</v>
      </c>
      <c r="F42" s="495">
        <v>42053</v>
      </c>
      <c r="G42" s="496">
        <v>206</v>
      </c>
      <c r="H42" s="495">
        <v>42418</v>
      </c>
      <c r="I42" s="496">
        <v>385</v>
      </c>
      <c r="J42" s="495">
        <v>42782</v>
      </c>
      <c r="K42" s="497">
        <v>200.524</v>
      </c>
      <c r="L42" s="495">
        <v>43146</v>
      </c>
      <c r="M42" s="498">
        <v>175.18</v>
      </c>
      <c r="N42" s="495">
        <v>43511</v>
      </c>
      <c r="O42" s="498">
        <v>195.87</v>
      </c>
      <c r="P42" s="495">
        <v>43879</v>
      </c>
      <c r="Q42" s="498">
        <v>165.75299999999999</v>
      </c>
      <c r="R42" s="495">
        <v>44245</v>
      </c>
      <c r="S42" s="498">
        <v>209.82599999999999</v>
      </c>
      <c r="T42" s="495">
        <v>44608</v>
      </c>
      <c r="U42" s="498">
        <v>366.92200000000003</v>
      </c>
      <c r="V42" s="495">
        <v>44974</v>
      </c>
      <c r="W42" s="498">
        <v>410.97300000000001</v>
      </c>
    </row>
    <row r="43" spans="2:23">
      <c r="B43" s="495">
        <v>41324</v>
      </c>
      <c r="C43" s="496">
        <v>128</v>
      </c>
      <c r="D43" s="495">
        <v>41689</v>
      </c>
      <c r="E43" s="496">
        <v>186</v>
      </c>
      <c r="F43" s="495">
        <v>42054</v>
      </c>
      <c r="G43" s="496">
        <v>201</v>
      </c>
      <c r="H43" s="495">
        <v>42419</v>
      </c>
      <c r="I43" s="496">
        <v>380</v>
      </c>
      <c r="J43" s="495">
        <v>42783</v>
      </c>
      <c r="K43" s="497">
        <v>202.22900000000001</v>
      </c>
      <c r="L43" s="495">
        <v>43147</v>
      </c>
      <c r="M43" s="498">
        <v>166.57300000000001</v>
      </c>
      <c r="N43" s="495">
        <v>43515</v>
      </c>
      <c r="O43" s="498">
        <v>194.95500000000001</v>
      </c>
      <c r="P43" s="495">
        <v>43880</v>
      </c>
      <c r="Q43" s="498">
        <v>161.886</v>
      </c>
      <c r="R43" s="495">
        <v>44246</v>
      </c>
      <c r="S43" s="498">
        <v>210.48699999999999</v>
      </c>
      <c r="T43" s="495">
        <v>44609</v>
      </c>
      <c r="U43" s="498">
        <v>374.339</v>
      </c>
      <c r="V43" s="495">
        <v>44978</v>
      </c>
      <c r="W43" s="498">
        <v>417.11099999999999</v>
      </c>
    </row>
    <row r="44" spans="2:23">
      <c r="B44" s="495">
        <v>41325</v>
      </c>
      <c r="C44" s="496">
        <v>134</v>
      </c>
      <c r="D44" s="495">
        <v>41690</v>
      </c>
      <c r="E44" s="496">
        <v>188</v>
      </c>
      <c r="F44" s="495">
        <v>42055</v>
      </c>
      <c r="G44" s="496">
        <v>197</v>
      </c>
      <c r="H44" s="495">
        <v>42422</v>
      </c>
      <c r="I44" s="496">
        <v>373</v>
      </c>
      <c r="J44" s="495">
        <v>42787</v>
      </c>
      <c r="K44" s="497">
        <v>199.12899999999999</v>
      </c>
      <c r="L44" s="495">
        <v>43151</v>
      </c>
      <c r="M44" s="498">
        <v>173.25200000000001</v>
      </c>
      <c r="N44" s="495">
        <v>43516</v>
      </c>
      <c r="O44" s="498">
        <v>192.91399999999999</v>
      </c>
      <c r="P44" s="495">
        <v>43881</v>
      </c>
      <c r="Q44" s="498">
        <v>165.267</v>
      </c>
      <c r="R44" s="495">
        <v>44249</v>
      </c>
      <c r="S44" s="498">
        <v>215.578</v>
      </c>
      <c r="T44" s="495">
        <v>44610</v>
      </c>
      <c r="U44" s="498">
        <v>380.73899999999998</v>
      </c>
      <c r="V44" s="495">
        <v>44979</v>
      </c>
      <c r="W44" s="498">
        <v>416.00900000000001</v>
      </c>
    </row>
    <row r="45" spans="2:23">
      <c r="B45" s="495">
        <v>41326</v>
      </c>
      <c r="C45" s="496">
        <v>138</v>
      </c>
      <c r="D45" s="495">
        <v>41691</v>
      </c>
      <c r="E45" s="496">
        <v>189</v>
      </c>
      <c r="F45" s="495">
        <v>42056</v>
      </c>
      <c r="G45" s="496">
        <v>202</v>
      </c>
      <c r="H45" s="495">
        <v>42423</v>
      </c>
      <c r="I45" s="496">
        <v>378</v>
      </c>
      <c r="J45" s="495">
        <v>42788</v>
      </c>
      <c r="K45" s="497">
        <v>199.15899999999999</v>
      </c>
      <c r="L45" s="495">
        <v>43152</v>
      </c>
      <c r="M45" s="498">
        <v>172.81299999999999</v>
      </c>
      <c r="N45" s="495">
        <v>43517</v>
      </c>
      <c r="O45" s="498">
        <v>191.739</v>
      </c>
      <c r="P45" s="495">
        <v>43882</v>
      </c>
      <c r="Q45" s="498">
        <v>167.35300000000001</v>
      </c>
      <c r="R45" s="495">
        <v>44250</v>
      </c>
      <c r="S45" s="498">
        <v>218.84200000000001</v>
      </c>
      <c r="T45" s="495">
        <v>44614</v>
      </c>
      <c r="U45" s="498">
        <v>387.846</v>
      </c>
      <c r="V45" s="495">
        <v>44980</v>
      </c>
      <c r="W45" s="498">
        <v>394.76</v>
      </c>
    </row>
    <row r="46" spans="2:23">
      <c r="B46" s="495">
        <v>41327</v>
      </c>
      <c r="C46" s="496">
        <v>140</v>
      </c>
      <c r="D46" s="495">
        <v>41694</v>
      </c>
      <c r="E46" s="496">
        <v>181</v>
      </c>
      <c r="F46" s="495">
        <v>42057</v>
      </c>
      <c r="G46" s="496">
        <v>204</v>
      </c>
      <c r="H46" s="495">
        <v>42424</v>
      </c>
      <c r="I46" s="496">
        <v>369</v>
      </c>
      <c r="J46" s="495">
        <v>42789</v>
      </c>
      <c r="K46" s="497">
        <v>199.00800000000001</v>
      </c>
      <c r="L46" s="495">
        <v>43153</v>
      </c>
      <c r="M46" s="498">
        <v>176.42500000000001</v>
      </c>
      <c r="N46" s="495">
        <v>43518</v>
      </c>
      <c r="O46" s="498">
        <v>191.71199999999999</v>
      </c>
      <c r="P46" s="495">
        <v>43885</v>
      </c>
      <c r="Q46" s="498">
        <v>172.34800000000001</v>
      </c>
      <c r="R46" s="495">
        <v>44251</v>
      </c>
      <c r="S46" s="498">
        <v>215.875</v>
      </c>
      <c r="T46" s="495">
        <v>44615</v>
      </c>
      <c r="U46" s="498">
        <v>394.63</v>
      </c>
      <c r="V46" s="495">
        <v>44981</v>
      </c>
      <c r="W46" s="498">
        <v>391.04199999999997</v>
      </c>
    </row>
    <row r="47" spans="2:23">
      <c r="B47" s="495">
        <v>41330</v>
      </c>
      <c r="C47" s="496">
        <v>143</v>
      </c>
      <c r="D47" s="495">
        <v>41695</v>
      </c>
      <c r="E47" s="496">
        <v>184</v>
      </c>
      <c r="F47" s="495">
        <v>42058</v>
      </c>
      <c r="G47" s="496">
        <v>201</v>
      </c>
      <c r="H47" s="495">
        <v>42425</v>
      </c>
      <c r="I47" s="496">
        <v>369</v>
      </c>
      <c r="J47" s="495">
        <v>42790</v>
      </c>
      <c r="K47" s="497">
        <v>205.7</v>
      </c>
      <c r="L47" s="495">
        <v>43154</v>
      </c>
      <c r="M47" s="498">
        <v>179.30699999999999</v>
      </c>
      <c r="N47" s="495">
        <v>43521</v>
      </c>
      <c r="O47" s="498">
        <v>190.696</v>
      </c>
      <c r="P47" s="495">
        <v>43886</v>
      </c>
      <c r="Q47" s="498">
        <v>179.773</v>
      </c>
      <c r="R47" s="495">
        <v>44252</v>
      </c>
      <c r="S47" s="498">
        <v>223.078</v>
      </c>
      <c r="T47" s="495">
        <v>44616</v>
      </c>
      <c r="U47" s="498">
        <v>393.34399999999999</v>
      </c>
      <c r="V47" s="495">
        <v>44984</v>
      </c>
      <c r="W47" s="498">
        <v>386.666</v>
      </c>
    </row>
    <row r="48" spans="2:23">
      <c r="B48" s="495">
        <v>41331</v>
      </c>
      <c r="C48" s="496">
        <v>143</v>
      </c>
      <c r="D48" s="495">
        <v>41696</v>
      </c>
      <c r="E48" s="496">
        <v>188</v>
      </c>
      <c r="F48" s="495">
        <v>42059</v>
      </c>
      <c r="G48" s="496">
        <v>196</v>
      </c>
      <c r="H48" s="495">
        <v>42426</v>
      </c>
      <c r="I48" s="496">
        <v>369</v>
      </c>
      <c r="J48" s="495">
        <v>42793</v>
      </c>
      <c r="K48" s="497">
        <v>204.482</v>
      </c>
      <c r="L48" s="495">
        <v>43157</v>
      </c>
      <c r="M48" s="498">
        <v>173.65</v>
      </c>
      <c r="N48" s="495">
        <v>43522</v>
      </c>
      <c r="O48" s="498">
        <v>191.2</v>
      </c>
      <c r="P48" s="495">
        <v>43887</v>
      </c>
      <c r="Q48" s="498">
        <v>181.846</v>
      </c>
      <c r="R48" s="495">
        <v>44253</v>
      </c>
      <c r="S48" s="498">
        <v>232.268</v>
      </c>
      <c r="T48" s="495">
        <v>44617</v>
      </c>
      <c r="U48" s="498">
        <v>380.089</v>
      </c>
      <c r="V48" s="495">
        <v>44985</v>
      </c>
      <c r="W48" s="498">
        <v>393.18900000000002</v>
      </c>
    </row>
    <row r="49" spans="2:23">
      <c r="B49" s="495">
        <v>41332</v>
      </c>
      <c r="C49" s="496">
        <v>141</v>
      </c>
      <c r="D49" s="495">
        <v>41697</v>
      </c>
      <c r="E49" s="496">
        <v>185</v>
      </c>
      <c r="F49" s="495">
        <v>42060</v>
      </c>
      <c r="G49" s="496">
        <v>197</v>
      </c>
      <c r="H49" s="495">
        <v>42429</v>
      </c>
      <c r="I49" s="496">
        <v>371</v>
      </c>
      <c r="J49" s="495">
        <v>42794</v>
      </c>
      <c r="K49" s="497">
        <v>202.46799999999999</v>
      </c>
      <c r="L49" s="495">
        <v>43158</v>
      </c>
      <c r="M49" s="498">
        <v>169.428</v>
      </c>
      <c r="N49" s="495">
        <v>43523</v>
      </c>
      <c r="O49" s="498">
        <v>186.27600000000001</v>
      </c>
      <c r="P49" s="495">
        <v>43888</v>
      </c>
      <c r="Q49" s="498">
        <v>192.364</v>
      </c>
      <c r="R49" s="495">
        <v>44256</v>
      </c>
      <c r="S49" s="498">
        <v>225.07300000000001</v>
      </c>
      <c r="T49" s="495">
        <v>44620</v>
      </c>
      <c r="U49" s="498">
        <v>385.49200000000002</v>
      </c>
      <c r="V49" s="495">
        <v>44986</v>
      </c>
      <c r="W49" s="498">
        <v>395.37599999999998</v>
      </c>
    </row>
    <row r="50" spans="2:23">
      <c r="B50" s="495">
        <v>41333</v>
      </c>
      <c r="C50" s="496">
        <v>143</v>
      </c>
      <c r="D50" s="495">
        <v>41698</v>
      </c>
      <c r="E50" s="496">
        <v>180</v>
      </c>
      <c r="F50" s="495">
        <v>42061</v>
      </c>
      <c r="G50" s="496">
        <v>191</v>
      </c>
      <c r="H50" s="495">
        <v>42430</v>
      </c>
      <c r="I50" s="496">
        <v>354</v>
      </c>
      <c r="J50" s="495">
        <v>42795</v>
      </c>
      <c r="K50" s="497">
        <v>195.29499999999999</v>
      </c>
      <c r="L50" s="495">
        <v>43159</v>
      </c>
      <c r="M50" s="498">
        <v>178.06899999999999</v>
      </c>
      <c r="N50" s="495">
        <v>43524</v>
      </c>
      <c r="O50" s="498">
        <v>185.61199999999999</v>
      </c>
      <c r="P50" s="495">
        <v>43889</v>
      </c>
      <c r="Q50" s="498">
        <v>212.15600000000001</v>
      </c>
      <c r="R50" s="495">
        <v>44257</v>
      </c>
      <c r="S50" s="498">
        <v>225.84899999999999</v>
      </c>
      <c r="T50" s="495">
        <v>44621</v>
      </c>
      <c r="U50" s="498">
        <v>390.78399999999999</v>
      </c>
      <c r="V50" s="495">
        <v>44987</v>
      </c>
      <c r="W50" s="498">
        <v>398.94400000000002</v>
      </c>
    </row>
    <row r="51" spans="2:23">
      <c r="B51" s="495">
        <v>41334</v>
      </c>
      <c r="C51" s="496">
        <v>145</v>
      </c>
      <c r="D51" s="495">
        <v>41701</v>
      </c>
      <c r="E51" s="496">
        <v>188</v>
      </c>
      <c r="F51" s="495">
        <v>42062</v>
      </c>
      <c r="G51" s="496">
        <v>195</v>
      </c>
      <c r="H51" s="495">
        <v>42431</v>
      </c>
      <c r="I51" s="496">
        <v>352</v>
      </c>
      <c r="J51" s="495">
        <v>42796</v>
      </c>
      <c r="K51" s="497">
        <v>195.708</v>
      </c>
      <c r="L51" s="495">
        <v>43160</v>
      </c>
      <c r="M51" s="498">
        <v>185.042</v>
      </c>
      <c r="N51" s="495">
        <v>43525</v>
      </c>
      <c r="O51" s="498">
        <v>185.36099999999999</v>
      </c>
      <c r="P51" s="495">
        <v>43892</v>
      </c>
      <c r="Q51" s="498">
        <v>205.09800000000001</v>
      </c>
      <c r="R51" s="495">
        <v>44258</v>
      </c>
      <c r="S51" s="498">
        <v>223.61799999999999</v>
      </c>
      <c r="T51" s="495">
        <v>44622</v>
      </c>
      <c r="U51" s="498">
        <v>384.608</v>
      </c>
      <c r="V51" s="495">
        <v>44988</v>
      </c>
      <c r="W51" s="498">
        <v>391.57299999999998</v>
      </c>
    </row>
    <row r="52" spans="2:23">
      <c r="B52" s="495">
        <v>41337</v>
      </c>
      <c r="C52" s="496">
        <v>141</v>
      </c>
      <c r="D52" s="495">
        <v>41702</v>
      </c>
      <c r="E52" s="496">
        <v>174</v>
      </c>
      <c r="F52" s="495">
        <v>42063</v>
      </c>
      <c r="G52" s="496">
        <v>199</v>
      </c>
      <c r="H52" s="495">
        <v>42432</v>
      </c>
      <c r="I52" s="496">
        <v>337</v>
      </c>
      <c r="J52" s="495">
        <v>42797</v>
      </c>
      <c r="K52" s="497">
        <v>194.333</v>
      </c>
      <c r="L52" s="495">
        <v>43161</v>
      </c>
      <c r="M52" s="498">
        <v>179.81700000000001</v>
      </c>
      <c r="N52" s="495">
        <v>43528</v>
      </c>
      <c r="O52" s="498">
        <v>189.286</v>
      </c>
      <c r="P52" s="495">
        <v>43893</v>
      </c>
      <c r="Q52" s="498">
        <v>199.74799999999999</v>
      </c>
      <c r="R52" s="495">
        <v>44259</v>
      </c>
      <c r="S52" s="498">
        <v>223.16</v>
      </c>
      <c r="T52" s="495">
        <v>44623</v>
      </c>
      <c r="U52" s="498">
        <v>391.31099999999998</v>
      </c>
      <c r="V52" s="495">
        <v>44991</v>
      </c>
      <c r="W52" s="498">
        <v>384.89699999999999</v>
      </c>
    </row>
    <row r="53" spans="2:23">
      <c r="B53" s="495">
        <v>41338</v>
      </c>
      <c r="C53" s="496">
        <v>136</v>
      </c>
      <c r="D53" s="495">
        <v>41703</v>
      </c>
      <c r="E53" s="496">
        <v>169</v>
      </c>
      <c r="F53" s="495">
        <v>42064</v>
      </c>
      <c r="G53" s="496">
        <v>205</v>
      </c>
      <c r="H53" s="495">
        <v>42433</v>
      </c>
      <c r="I53" s="496">
        <v>331</v>
      </c>
      <c r="J53" s="495">
        <v>42800</v>
      </c>
      <c r="K53" s="497">
        <v>192.40199999999999</v>
      </c>
      <c r="L53" s="495">
        <v>43164</v>
      </c>
      <c r="M53" s="498">
        <v>176.25899999999999</v>
      </c>
      <c r="N53" s="495">
        <v>43529</v>
      </c>
      <c r="O53" s="498">
        <v>189.42599999999999</v>
      </c>
      <c r="P53" s="495">
        <v>43894</v>
      </c>
      <c r="Q53" s="498">
        <v>188.93100000000001</v>
      </c>
      <c r="R53" s="495">
        <v>44260</v>
      </c>
      <c r="S53" s="498">
        <v>237.846</v>
      </c>
      <c r="T53" s="495">
        <v>44624</v>
      </c>
      <c r="U53" s="498">
        <v>411.59399999999999</v>
      </c>
      <c r="V53" s="495">
        <v>44992</v>
      </c>
      <c r="W53" s="498">
        <v>388.30500000000001</v>
      </c>
    </row>
    <row r="54" spans="2:23">
      <c r="B54" s="495">
        <v>41339</v>
      </c>
      <c r="C54" s="496">
        <v>130</v>
      </c>
      <c r="D54" s="495">
        <v>41704</v>
      </c>
      <c r="E54" s="496">
        <v>167</v>
      </c>
      <c r="F54" s="495">
        <v>42065</v>
      </c>
      <c r="G54" s="496">
        <v>206</v>
      </c>
      <c r="H54" s="495">
        <v>42436</v>
      </c>
      <c r="I54" s="496">
        <v>329</v>
      </c>
      <c r="J54" s="495">
        <v>42801</v>
      </c>
      <c r="K54" s="497">
        <v>193.86799999999999</v>
      </c>
      <c r="L54" s="495">
        <v>43165</v>
      </c>
      <c r="M54" s="498">
        <v>175.87100000000001</v>
      </c>
      <c r="N54" s="495">
        <v>43530</v>
      </c>
      <c r="O54" s="498">
        <v>188.99</v>
      </c>
      <c r="P54" s="495">
        <v>43895</v>
      </c>
      <c r="Q54" s="498">
        <v>200.85499999999999</v>
      </c>
      <c r="R54" s="495">
        <v>44263</v>
      </c>
      <c r="S54" s="498">
        <v>250.047</v>
      </c>
      <c r="T54" s="495">
        <v>44627</v>
      </c>
      <c r="U54" s="498">
        <v>414.09300000000002</v>
      </c>
      <c r="V54" s="495">
        <v>44993</v>
      </c>
      <c r="W54" s="498">
        <v>392.91300000000001</v>
      </c>
    </row>
    <row r="55" spans="2:23">
      <c r="B55" s="495">
        <v>41340</v>
      </c>
      <c r="C55" s="496">
        <v>128</v>
      </c>
      <c r="D55" s="495">
        <v>41705</v>
      </c>
      <c r="E55" s="496">
        <v>167</v>
      </c>
      <c r="F55" s="495">
        <v>42066</v>
      </c>
      <c r="G55" s="496">
        <v>212</v>
      </c>
      <c r="H55" s="495">
        <v>42437</v>
      </c>
      <c r="I55" s="496">
        <v>335</v>
      </c>
      <c r="J55" s="495">
        <v>42802</v>
      </c>
      <c r="K55" s="497">
        <v>203.81100000000001</v>
      </c>
      <c r="L55" s="495">
        <v>43166</v>
      </c>
      <c r="M55" s="498">
        <v>178.25700000000001</v>
      </c>
      <c r="N55" s="495">
        <v>43531</v>
      </c>
      <c r="O55" s="498">
        <v>192.53299999999999</v>
      </c>
      <c r="P55" s="495">
        <v>43896</v>
      </c>
      <c r="Q55" s="498">
        <v>220.09399999999999</v>
      </c>
      <c r="R55" s="495">
        <v>44264</v>
      </c>
      <c r="S55" s="498">
        <v>246.84399999999999</v>
      </c>
      <c r="T55" s="495">
        <v>44628</v>
      </c>
      <c r="U55" s="498">
        <v>408.42599999999999</v>
      </c>
      <c r="V55" s="495">
        <v>44994</v>
      </c>
      <c r="W55" s="498">
        <v>405.11</v>
      </c>
    </row>
    <row r="56" spans="2:23">
      <c r="B56" s="495">
        <v>41341</v>
      </c>
      <c r="C56" s="496">
        <v>130</v>
      </c>
      <c r="D56" s="495">
        <v>41708</v>
      </c>
      <c r="E56" s="496">
        <v>169</v>
      </c>
      <c r="F56" s="495">
        <v>42067</v>
      </c>
      <c r="G56" s="496">
        <v>224</v>
      </c>
      <c r="H56" s="495">
        <v>42438</v>
      </c>
      <c r="I56" s="496">
        <v>324</v>
      </c>
      <c r="J56" s="495">
        <v>42803</v>
      </c>
      <c r="K56" s="497">
        <v>207.82499999999999</v>
      </c>
      <c r="L56" s="495">
        <v>43167</v>
      </c>
      <c r="M56" s="498">
        <v>178.512</v>
      </c>
      <c r="N56" s="495">
        <v>43532</v>
      </c>
      <c r="O56" s="498">
        <v>194.53299999999999</v>
      </c>
      <c r="P56" s="495">
        <v>43899</v>
      </c>
      <c r="Q56" s="498">
        <v>284.38099999999997</v>
      </c>
      <c r="R56" s="495">
        <v>44265</v>
      </c>
      <c r="S56" s="498">
        <v>234.095</v>
      </c>
      <c r="T56" s="495">
        <v>44629</v>
      </c>
      <c r="U56" s="498">
        <v>387.08499999999998</v>
      </c>
      <c r="V56" s="495">
        <v>44995</v>
      </c>
      <c r="W56" s="498">
        <v>417.14100000000002</v>
      </c>
    </row>
    <row r="57" spans="2:23">
      <c r="B57" s="495">
        <v>41344</v>
      </c>
      <c r="C57" s="496">
        <v>133</v>
      </c>
      <c r="D57" s="495">
        <v>41709</v>
      </c>
      <c r="E57" s="496">
        <v>172</v>
      </c>
      <c r="F57" s="495">
        <v>42068</v>
      </c>
      <c r="G57" s="496">
        <v>223</v>
      </c>
      <c r="H57" s="495">
        <v>42439</v>
      </c>
      <c r="I57" s="496">
        <v>320</v>
      </c>
      <c r="J57" s="495">
        <v>42804</v>
      </c>
      <c r="K57" s="497">
        <v>200.47399999999999</v>
      </c>
      <c r="L57" s="495">
        <v>43168</v>
      </c>
      <c r="M57" s="498">
        <v>172.624</v>
      </c>
      <c r="N57" s="495">
        <v>43535</v>
      </c>
      <c r="O57" s="498">
        <v>189.99199999999999</v>
      </c>
      <c r="P57" s="495">
        <v>43900</v>
      </c>
      <c r="Q57" s="498">
        <v>264.02999999999997</v>
      </c>
      <c r="R57" s="495">
        <v>44266</v>
      </c>
      <c r="S57" s="498">
        <v>227.68600000000001</v>
      </c>
      <c r="T57" s="495">
        <v>44630</v>
      </c>
      <c r="U57" s="498">
        <v>381.41</v>
      </c>
      <c r="V57" s="495">
        <v>44998</v>
      </c>
      <c r="W57" s="498">
        <v>429.59</v>
      </c>
    </row>
    <row r="58" spans="2:23">
      <c r="B58" s="495">
        <v>41345</v>
      </c>
      <c r="C58" s="496">
        <v>134</v>
      </c>
      <c r="D58" s="495">
        <v>41710</v>
      </c>
      <c r="E58" s="496">
        <v>170</v>
      </c>
      <c r="F58" s="495">
        <v>42069</v>
      </c>
      <c r="G58" s="496">
        <v>218</v>
      </c>
      <c r="H58" s="495">
        <v>42440</v>
      </c>
      <c r="I58" s="496">
        <v>312</v>
      </c>
      <c r="J58" s="495">
        <v>42807</v>
      </c>
      <c r="K58" s="497">
        <v>200.976</v>
      </c>
      <c r="L58" s="495">
        <v>43171</v>
      </c>
      <c r="M58" s="498">
        <v>173.714</v>
      </c>
      <c r="N58" s="495">
        <v>43536</v>
      </c>
      <c r="O58" s="498">
        <v>192.441</v>
      </c>
      <c r="P58" s="495">
        <v>43901</v>
      </c>
      <c r="Q58" s="498">
        <v>293.29000000000002</v>
      </c>
      <c r="R58" s="495">
        <v>44267</v>
      </c>
      <c r="S58" s="498">
        <v>222.405</v>
      </c>
      <c r="T58" s="495">
        <v>44631</v>
      </c>
      <c r="U58" s="498">
        <v>379.762</v>
      </c>
      <c r="V58" s="495">
        <v>44999</v>
      </c>
      <c r="W58" s="498">
        <v>422.10199999999998</v>
      </c>
    </row>
    <row r="59" spans="2:23">
      <c r="B59" s="495">
        <v>41346</v>
      </c>
      <c r="C59" s="496">
        <v>137</v>
      </c>
      <c r="D59" s="495">
        <v>41711</v>
      </c>
      <c r="E59" s="496">
        <v>178</v>
      </c>
      <c r="F59" s="495">
        <v>42070</v>
      </c>
      <c r="G59" s="496">
        <v>225</v>
      </c>
      <c r="H59" s="495">
        <v>42443</v>
      </c>
      <c r="I59" s="496">
        <v>315</v>
      </c>
      <c r="J59" s="495">
        <v>42808</v>
      </c>
      <c r="K59" s="497">
        <v>209.07300000000001</v>
      </c>
      <c r="L59" s="495">
        <v>43172</v>
      </c>
      <c r="M59" s="498">
        <v>178.251</v>
      </c>
      <c r="N59" s="495">
        <v>43537</v>
      </c>
      <c r="O59" s="498">
        <v>191.28200000000001</v>
      </c>
      <c r="P59" s="495">
        <v>43902</v>
      </c>
      <c r="Q59" s="498">
        <v>359.78</v>
      </c>
      <c r="R59" s="495">
        <v>44270</v>
      </c>
      <c r="S59" s="498">
        <v>221.81899999999999</v>
      </c>
      <c r="T59" s="495">
        <v>44634</v>
      </c>
      <c r="U59" s="498">
        <v>374.01</v>
      </c>
      <c r="V59" s="495">
        <v>45000</v>
      </c>
      <c r="W59" s="498">
        <v>448.07</v>
      </c>
    </row>
    <row r="60" spans="2:23">
      <c r="B60" s="495">
        <v>41347</v>
      </c>
      <c r="C60" s="496">
        <v>137</v>
      </c>
      <c r="D60" s="495">
        <v>41712</v>
      </c>
      <c r="E60" s="496">
        <v>179</v>
      </c>
      <c r="F60" s="495">
        <v>42071</v>
      </c>
      <c r="G60" s="496">
        <v>232</v>
      </c>
      <c r="H60" s="495">
        <v>42444</v>
      </c>
      <c r="I60" s="496">
        <v>324</v>
      </c>
      <c r="J60" s="495">
        <v>42809</v>
      </c>
      <c r="K60" s="497">
        <v>205.46799999999999</v>
      </c>
      <c r="L60" s="495">
        <v>43173</v>
      </c>
      <c r="M60" s="498">
        <v>179.26499999999999</v>
      </c>
      <c r="N60" s="495">
        <v>43538</v>
      </c>
      <c r="O60" s="498">
        <v>186.76</v>
      </c>
      <c r="P60" s="495">
        <v>43903</v>
      </c>
      <c r="Q60" s="498">
        <v>336.14299999999997</v>
      </c>
      <c r="R60" s="495">
        <v>44271</v>
      </c>
      <c r="S60" s="498">
        <v>215.19499999999999</v>
      </c>
      <c r="T60" s="495">
        <v>44635</v>
      </c>
      <c r="U60" s="498">
        <v>362.56299999999999</v>
      </c>
      <c r="V60" s="495">
        <v>45001</v>
      </c>
      <c r="W60" s="498">
        <v>434.68599999999998</v>
      </c>
    </row>
    <row r="61" spans="2:23">
      <c r="B61" s="495">
        <v>41348</v>
      </c>
      <c r="C61" s="496">
        <v>146</v>
      </c>
      <c r="D61" s="495">
        <v>41715</v>
      </c>
      <c r="E61" s="496">
        <v>177</v>
      </c>
      <c r="F61" s="495">
        <v>42072</v>
      </c>
      <c r="G61" s="496">
        <v>236</v>
      </c>
      <c r="H61" s="495">
        <v>42445</v>
      </c>
      <c r="I61" s="496">
        <v>310</v>
      </c>
      <c r="J61" s="495">
        <v>42810</v>
      </c>
      <c r="K61" s="497">
        <v>196.459</v>
      </c>
      <c r="L61" s="495">
        <v>43174</v>
      </c>
      <c r="M61" s="498">
        <v>178.17500000000001</v>
      </c>
      <c r="N61" s="495">
        <v>43539</v>
      </c>
      <c r="O61" s="498">
        <v>188.078</v>
      </c>
      <c r="P61" s="495">
        <v>43906</v>
      </c>
      <c r="Q61" s="498">
        <v>404.84699999999998</v>
      </c>
      <c r="R61" s="495">
        <v>44272</v>
      </c>
      <c r="S61" s="498">
        <v>213.86699999999999</v>
      </c>
      <c r="T61" s="495">
        <v>44636</v>
      </c>
      <c r="U61" s="498">
        <v>353.27</v>
      </c>
      <c r="V61" s="495">
        <v>45002</v>
      </c>
      <c r="W61" s="498">
        <v>447.33</v>
      </c>
    </row>
    <row r="62" spans="2:23">
      <c r="B62" s="495">
        <v>41351</v>
      </c>
      <c r="C62" s="496">
        <v>149</v>
      </c>
      <c r="D62" s="495">
        <v>41716</v>
      </c>
      <c r="E62" s="496">
        <v>174</v>
      </c>
      <c r="F62" s="495">
        <v>42073</v>
      </c>
      <c r="G62" s="496">
        <v>236</v>
      </c>
      <c r="H62" s="495">
        <v>42446</v>
      </c>
      <c r="I62" s="496">
        <v>293</v>
      </c>
      <c r="J62" s="495">
        <v>42811</v>
      </c>
      <c r="K62" s="497">
        <v>191.72499999999999</v>
      </c>
      <c r="L62" s="495">
        <v>43175</v>
      </c>
      <c r="M62" s="498">
        <v>177.38300000000001</v>
      </c>
      <c r="N62" s="495">
        <v>43542</v>
      </c>
      <c r="O62" s="498">
        <v>186.31</v>
      </c>
      <c r="P62" s="495">
        <v>43907</v>
      </c>
      <c r="Q62" s="498">
        <v>382.49</v>
      </c>
      <c r="R62" s="495">
        <v>44273</v>
      </c>
      <c r="S62" s="498">
        <v>212.68799999999999</v>
      </c>
      <c r="T62" s="495">
        <v>44637</v>
      </c>
      <c r="U62" s="498">
        <v>335.572</v>
      </c>
      <c r="V62" s="495">
        <v>45005</v>
      </c>
      <c r="W62" s="498">
        <v>441.57799999999997</v>
      </c>
    </row>
    <row r="63" spans="2:23">
      <c r="B63" s="495">
        <v>41352</v>
      </c>
      <c r="C63" s="496">
        <v>153</v>
      </c>
      <c r="D63" s="495">
        <v>41717</v>
      </c>
      <c r="E63" s="496">
        <v>173</v>
      </c>
      <c r="F63" s="495">
        <v>42074</v>
      </c>
      <c r="G63" s="496">
        <v>232</v>
      </c>
      <c r="H63" s="495">
        <v>42447</v>
      </c>
      <c r="I63" s="496">
        <v>286</v>
      </c>
      <c r="J63" s="495">
        <v>42814</v>
      </c>
      <c r="K63" s="497">
        <v>192.333</v>
      </c>
      <c r="L63" s="495">
        <v>43178</v>
      </c>
      <c r="M63" s="498">
        <v>180.27099999999999</v>
      </c>
      <c r="N63" s="495">
        <v>43543</v>
      </c>
      <c r="O63" s="498">
        <v>184.04300000000001</v>
      </c>
      <c r="P63" s="495">
        <v>43908</v>
      </c>
      <c r="Q63" s="498">
        <v>468.56200000000001</v>
      </c>
      <c r="R63" s="495">
        <v>44274</v>
      </c>
      <c r="S63" s="498">
        <v>211.14599999999999</v>
      </c>
      <c r="T63" s="495">
        <v>44638</v>
      </c>
      <c r="U63" s="498">
        <v>338.68799999999999</v>
      </c>
      <c r="V63" s="495">
        <v>45006</v>
      </c>
      <c r="W63" s="498">
        <v>421.93099999999998</v>
      </c>
    </row>
    <row r="64" spans="2:23">
      <c r="B64" s="495">
        <v>41353</v>
      </c>
      <c r="C64" s="496">
        <v>151</v>
      </c>
      <c r="D64" s="495">
        <v>41718</v>
      </c>
      <c r="E64" s="496">
        <v>178</v>
      </c>
      <c r="F64" s="495">
        <v>42075</v>
      </c>
      <c r="G64" s="496">
        <v>230</v>
      </c>
      <c r="H64" s="495">
        <v>42450</v>
      </c>
      <c r="I64" s="496">
        <v>282</v>
      </c>
      <c r="J64" s="495">
        <v>42815</v>
      </c>
      <c r="K64" s="497">
        <v>194.64</v>
      </c>
      <c r="L64" s="495">
        <v>43179</v>
      </c>
      <c r="M64" s="498">
        <v>179.75</v>
      </c>
      <c r="N64" s="495">
        <v>43544</v>
      </c>
      <c r="O64" s="498">
        <v>186.917</v>
      </c>
      <c r="P64" s="495">
        <v>43909</v>
      </c>
      <c r="Q64" s="498">
        <v>493.37900000000002</v>
      </c>
      <c r="R64" s="495">
        <v>44277</v>
      </c>
      <c r="S64" s="498">
        <v>213.56800000000001</v>
      </c>
      <c r="T64" s="495">
        <v>44641</v>
      </c>
      <c r="U64" s="498">
        <v>346.41800000000001</v>
      </c>
      <c r="V64" s="495">
        <v>45007</v>
      </c>
      <c r="W64" s="498">
        <v>425.74900000000002</v>
      </c>
    </row>
    <row r="65" spans="2:23">
      <c r="B65" s="495">
        <v>41354</v>
      </c>
      <c r="C65" s="496">
        <v>152</v>
      </c>
      <c r="D65" s="495">
        <v>41719</v>
      </c>
      <c r="E65" s="496">
        <v>176</v>
      </c>
      <c r="F65" s="495">
        <v>42076</v>
      </c>
      <c r="G65" s="496">
        <v>230</v>
      </c>
      <c r="H65" s="495">
        <v>42451</v>
      </c>
      <c r="I65" s="496">
        <v>283</v>
      </c>
      <c r="J65" s="495">
        <v>42816</v>
      </c>
      <c r="K65" s="497">
        <v>198.46299999999999</v>
      </c>
      <c r="L65" s="495">
        <v>43180</v>
      </c>
      <c r="M65" s="498">
        <v>175.91399999999999</v>
      </c>
      <c r="N65" s="495">
        <v>43545</v>
      </c>
      <c r="O65" s="498">
        <v>182.87700000000001</v>
      </c>
      <c r="P65" s="495">
        <v>43910</v>
      </c>
      <c r="Q65" s="498">
        <v>464.84</v>
      </c>
      <c r="R65" s="495">
        <v>44278</v>
      </c>
      <c r="S65" s="498">
        <v>212.90700000000001</v>
      </c>
      <c r="T65" s="495">
        <v>44642</v>
      </c>
      <c r="U65" s="498">
        <v>347.39</v>
      </c>
      <c r="V65" s="495">
        <v>45008</v>
      </c>
      <c r="W65" s="498">
        <v>420.56</v>
      </c>
    </row>
    <row r="66" spans="2:23">
      <c r="B66" s="495">
        <v>41355</v>
      </c>
      <c r="C66" s="496">
        <v>155</v>
      </c>
      <c r="D66" s="495">
        <v>41722</v>
      </c>
      <c r="E66" s="496">
        <v>180</v>
      </c>
      <c r="F66" s="495">
        <v>42077</v>
      </c>
      <c r="G66" s="496">
        <v>229</v>
      </c>
      <c r="H66" s="495">
        <v>42452</v>
      </c>
      <c r="I66" s="496">
        <v>295</v>
      </c>
      <c r="J66" s="495">
        <v>42817</v>
      </c>
      <c r="K66" s="497">
        <v>193.60499999999999</v>
      </c>
      <c r="L66" s="495">
        <v>43181</v>
      </c>
      <c r="M66" s="498">
        <v>180.67599999999999</v>
      </c>
      <c r="N66" s="495">
        <v>43546</v>
      </c>
      <c r="O66" s="498">
        <v>187.62200000000001</v>
      </c>
      <c r="P66" s="495">
        <v>43913</v>
      </c>
      <c r="Q66" s="498">
        <v>487.77</v>
      </c>
      <c r="R66" s="495">
        <v>44279</v>
      </c>
      <c r="S66" s="498">
        <v>216.80600000000001</v>
      </c>
      <c r="T66" s="495">
        <v>44643</v>
      </c>
      <c r="U66" s="498">
        <v>359.976</v>
      </c>
      <c r="V66" s="495">
        <v>45009</v>
      </c>
      <c r="W66" s="498">
        <v>419.39100000000002</v>
      </c>
    </row>
    <row r="67" spans="2:23">
      <c r="B67" s="495">
        <v>41358</v>
      </c>
      <c r="C67" s="496">
        <v>154</v>
      </c>
      <c r="D67" s="495">
        <v>41723</v>
      </c>
      <c r="E67" s="496">
        <v>175</v>
      </c>
      <c r="F67" s="495">
        <v>42078</v>
      </c>
      <c r="G67" s="496">
        <v>225</v>
      </c>
      <c r="H67" s="495">
        <v>42453</v>
      </c>
      <c r="I67" s="496">
        <v>303</v>
      </c>
      <c r="J67" s="495">
        <v>42818</v>
      </c>
      <c r="K67" s="497">
        <v>189.065</v>
      </c>
      <c r="L67" s="495">
        <v>43182</v>
      </c>
      <c r="M67" s="498">
        <v>184.35599999999999</v>
      </c>
      <c r="N67" s="495">
        <v>43549</v>
      </c>
      <c r="O67" s="498">
        <v>190.81899999999999</v>
      </c>
      <c r="P67" s="495">
        <v>43914</v>
      </c>
      <c r="Q67" s="498">
        <v>456.97899999999998</v>
      </c>
      <c r="R67" s="495">
        <v>44280</v>
      </c>
      <c r="S67" s="498">
        <v>221.47900000000001</v>
      </c>
      <c r="T67" s="495">
        <v>44644</v>
      </c>
      <c r="U67" s="498">
        <v>348.42700000000002</v>
      </c>
      <c r="V67" s="495">
        <v>45012</v>
      </c>
      <c r="W67" s="498">
        <v>407.185</v>
      </c>
    </row>
    <row r="68" spans="2:23">
      <c r="B68" s="495">
        <v>41359</v>
      </c>
      <c r="C68" s="496">
        <v>152</v>
      </c>
      <c r="D68" s="495">
        <v>41724</v>
      </c>
      <c r="E68" s="496">
        <v>170</v>
      </c>
      <c r="F68" s="495">
        <v>42079</v>
      </c>
      <c r="G68" s="496">
        <v>220</v>
      </c>
      <c r="H68" s="495">
        <v>42457</v>
      </c>
      <c r="I68" s="496">
        <v>302</v>
      </c>
      <c r="J68" s="495">
        <v>42821</v>
      </c>
      <c r="K68" s="497">
        <v>186.41300000000001</v>
      </c>
      <c r="L68" s="495">
        <v>43185</v>
      </c>
      <c r="M68" s="498">
        <v>180.483</v>
      </c>
      <c r="N68" s="495">
        <v>43550</v>
      </c>
      <c r="O68" s="498">
        <v>185.654</v>
      </c>
      <c r="P68" s="495">
        <v>43915</v>
      </c>
      <c r="Q68" s="498">
        <v>379.589</v>
      </c>
      <c r="R68" s="495">
        <v>44281</v>
      </c>
      <c r="S68" s="498">
        <v>222.73699999999999</v>
      </c>
      <c r="T68" s="495">
        <v>44645</v>
      </c>
      <c r="U68" s="498">
        <v>338.16699999999997</v>
      </c>
      <c r="V68" s="495">
        <v>45013</v>
      </c>
      <c r="W68" s="498">
        <v>407.71300000000002</v>
      </c>
    </row>
    <row r="69" spans="2:23">
      <c r="B69" s="495">
        <v>41360</v>
      </c>
      <c r="C69" s="496">
        <v>152</v>
      </c>
      <c r="D69" s="495">
        <v>41725</v>
      </c>
      <c r="E69" s="496">
        <v>167</v>
      </c>
      <c r="F69" s="495">
        <v>42080</v>
      </c>
      <c r="G69" s="496">
        <v>223</v>
      </c>
      <c r="H69" s="495">
        <v>42458</v>
      </c>
      <c r="I69" s="496">
        <v>309</v>
      </c>
      <c r="J69" s="495">
        <v>42822</v>
      </c>
      <c r="K69" s="497">
        <v>182.56299999999999</v>
      </c>
      <c r="L69" s="495">
        <v>43186</v>
      </c>
      <c r="M69" s="498">
        <v>180.77600000000001</v>
      </c>
      <c r="N69" s="495">
        <v>43551</v>
      </c>
      <c r="O69" s="498">
        <v>186.97900000000001</v>
      </c>
      <c r="P69" s="495">
        <v>43916</v>
      </c>
      <c r="Q69" s="498">
        <v>345.58199999999999</v>
      </c>
      <c r="R69" s="495">
        <v>44284</v>
      </c>
      <c r="S69" s="498">
        <v>220.304</v>
      </c>
      <c r="T69" s="495">
        <v>44648</v>
      </c>
      <c r="U69" s="498">
        <v>333.65899999999999</v>
      </c>
      <c r="V69" s="495">
        <v>45014</v>
      </c>
      <c r="W69" s="498">
        <v>392.97500000000002</v>
      </c>
    </row>
    <row r="70" spans="2:23">
      <c r="B70" s="495">
        <v>41361</v>
      </c>
      <c r="C70" s="496">
        <v>148</v>
      </c>
      <c r="D70" s="495">
        <v>41726</v>
      </c>
      <c r="E70" s="496">
        <v>166</v>
      </c>
      <c r="F70" s="495">
        <v>42081</v>
      </c>
      <c r="G70" s="496">
        <v>218</v>
      </c>
      <c r="H70" s="495">
        <v>42459</v>
      </c>
      <c r="I70" s="496">
        <v>301</v>
      </c>
      <c r="J70" s="495">
        <v>42823</v>
      </c>
      <c r="K70" s="497">
        <v>184.48500000000001</v>
      </c>
      <c r="L70" s="495">
        <v>43187</v>
      </c>
      <c r="M70" s="498">
        <v>180.876</v>
      </c>
      <c r="N70" s="495">
        <v>43552</v>
      </c>
      <c r="O70" s="498">
        <v>186.97800000000001</v>
      </c>
      <c r="P70" s="495">
        <v>43917</v>
      </c>
      <c r="Q70" s="498">
        <v>389.54700000000003</v>
      </c>
      <c r="R70" s="495">
        <v>44285</v>
      </c>
      <c r="S70" s="498">
        <v>224.291</v>
      </c>
      <c r="T70" s="495">
        <v>44649</v>
      </c>
      <c r="U70" s="498">
        <v>328.86700000000002</v>
      </c>
      <c r="V70" s="495">
        <v>45015</v>
      </c>
      <c r="W70" s="498">
        <v>391.09300000000002</v>
      </c>
    </row>
    <row r="71" spans="2:23">
      <c r="B71" s="495">
        <v>41365</v>
      </c>
      <c r="C71" s="496">
        <v>149</v>
      </c>
      <c r="D71" s="495">
        <v>41729</v>
      </c>
      <c r="E71" s="496">
        <v>165</v>
      </c>
      <c r="F71" s="495">
        <v>42082</v>
      </c>
      <c r="G71" s="496">
        <v>219</v>
      </c>
      <c r="H71" s="495">
        <v>42460</v>
      </c>
      <c r="I71" s="496">
        <v>299</v>
      </c>
      <c r="J71" s="495">
        <v>42824</v>
      </c>
      <c r="K71" s="497">
        <v>188.44200000000001</v>
      </c>
      <c r="L71" s="495">
        <v>43188</v>
      </c>
      <c r="M71" s="498">
        <v>180.494</v>
      </c>
      <c r="N71" s="495">
        <v>43553</v>
      </c>
      <c r="O71" s="498">
        <v>183.89400000000001</v>
      </c>
      <c r="P71" s="495">
        <v>43920</v>
      </c>
      <c r="Q71" s="498">
        <v>390.76900000000001</v>
      </c>
      <c r="R71" s="495">
        <v>44286</v>
      </c>
      <c r="S71" s="498">
        <v>216.304</v>
      </c>
      <c r="T71" s="495">
        <v>44650</v>
      </c>
      <c r="U71" s="498">
        <v>328.84800000000001</v>
      </c>
      <c r="V71" s="495">
        <v>45016</v>
      </c>
      <c r="W71" s="498">
        <v>382.03100000000001</v>
      </c>
    </row>
    <row r="72" spans="2:23">
      <c r="B72" s="495">
        <v>41366</v>
      </c>
      <c r="C72" s="496">
        <v>143</v>
      </c>
      <c r="D72" s="495">
        <v>41730</v>
      </c>
      <c r="E72" s="496">
        <v>156</v>
      </c>
      <c r="F72" s="495">
        <v>42083</v>
      </c>
      <c r="G72" s="496">
        <v>221</v>
      </c>
      <c r="H72" s="495">
        <v>42461</v>
      </c>
      <c r="I72" s="496">
        <v>295</v>
      </c>
      <c r="J72" s="495">
        <v>42825</v>
      </c>
      <c r="K72" s="497">
        <v>192.14</v>
      </c>
      <c r="L72" s="495">
        <v>43192</v>
      </c>
      <c r="M72" s="498">
        <v>181.85599999999999</v>
      </c>
      <c r="N72" s="495">
        <v>43556</v>
      </c>
      <c r="O72" s="498">
        <v>178.846</v>
      </c>
      <c r="P72" s="495">
        <v>43921</v>
      </c>
      <c r="Q72" s="498">
        <v>376.39800000000002</v>
      </c>
      <c r="R72" s="495">
        <v>44287</v>
      </c>
      <c r="S72" s="498">
        <v>211.49299999999999</v>
      </c>
      <c r="T72" s="495">
        <v>44651</v>
      </c>
      <c r="U72" s="498">
        <v>337.86500000000001</v>
      </c>
      <c r="V72" s="495">
        <v>45019</v>
      </c>
      <c r="W72" s="498">
        <v>375.21</v>
      </c>
    </row>
    <row r="73" spans="2:23">
      <c r="B73" s="495">
        <v>41367</v>
      </c>
      <c r="C73" s="496">
        <v>140</v>
      </c>
      <c r="D73" s="495">
        <v>41731</v>
      </c>
      <c r="E73" s="496">
        <v>157</v>
      </c>
      <c r="F73" s="495">
        <v>42084</v>
      </c>
      <c r="G73" s="496">
        <v>215</v>
      </c>
      <c r="H73" s="495">
        <v>42464</v>
      </c>
      <c r="I73" s="496">
        <v>299</v>
      </c>
      <c r="J73" s="495">
        <v>42828</v>
      </c>
      <c r="K73" s="497">
        <v>196.43600000000001</v>
      </c>
      <c r="L73" s="495">
        <v>43193</v>
      </c>
      <c r="M73" s="498">
        <v>174.381</v>
      </c>
      <c r="N73" s="495">
        <v>43557</v>
      </c>
      <c r="O73" s="498">
        <v>184.809</v>
      </c>
      <c r="P73" s="495">
        <v>43922</v>
      </c>
      <c r="Q73" s="498">
        <v>404.73</v>
      </c>
      <c r="R73" s="495">
        <v>44291</v>
      </c>
      <c r="S73" s="498">
        <v>208.23099999999999</v>
      </c>
      <c r="T73" s="495">
        <v>44652</v>
      </c>
      <c r="U73" s="498">
        <v>345.53300000000002</v>
      </c>
      <c r="V73" s="495">
        <v>45020</v>
      </c>
      <c r="W73" s="498">
        <v>388.20699999999999</v>
      </c>
    </row>
    <row r="74" spans="2:23">
      <c r="B74" s="495">
        <v>41368</v>
      </c>
      <c r="C74" s="496">
        <v>135</v>
      </c>
      <c r="D74" s="495">
        <v>41732</v>
      </c>
      <c r="E74" s="496">
        <v>158</v>
      </c>
      <c r="F74" s="495">
        <v>42085</v>
      </c>
      <c r="G74" s="496">
        <v>218</v>
      </c>
      <c r="H74" s="495">
        <v>42465</v>
      </c>
      <c r="I74" s="496">
        <v>311</v>
      </c>
      <c r="J74" s="495">
        <v>42829</v>
      </c>
      <c r="K74" s="497">
        <v>194.70400000000001</v>
      </c>
      <c r="L74" s="495">
        <v>43194</v>
      </c>
      <c r="M74" s="498">
        <v>173.95500000000001</v>
      </c>
      <c r="N74" s="495">
        <v>43558</v>
      </c>
      <c r="O74" s="498">
        <v>180.756</v>
      </c>
      <c r="P74" s="495">
        <v>43923</v>
      </c>
      <c r="Q74" s="498">
        <v>409.19200000000001</v>
      </c>
      <c r="R74" s="495">
        <v>44292</v>
      </c>
      <c r="S74" s="498">
        <v>209.37</v>
      </c>
      <c r="T74" s="495">
        <v>44655</v>
      </c>
      <c r="U74" s="498">
        <v>323.40899999999999</v>
      </c>
      <c r="V74" s="495">
        <v>45022</v>
      </c>
      <c r="W74" s="498">
        <v>403.62</v>
      </c>
    </row>
    <row r="75" spans="2:23">
      <c r="B75" s="495">
        <v>41369</v>
      </c>
      <c r="C75" s="496">
        <v>135</v>
      </c>
      <c r="D75" s="495">
        <v>41733</v>
      </c>
      <c r="E75" s="496">
        <v>157</v>
      </c>
      <c r="F75" s="495">
        <v>42086</v>
      </c>
      <c r="G75" s="496">
        <v>210</v>
      </c>
      <c r="H75" s="495">
        <v>42466</v>
      </c>
      <c r="I75" s="496">
        <v>304</v>
      </c>
      <c r="J75" s="495">
        <v>42830</v>
      </c>
      <c r="K75" s="497">
        <v>194.16300000000001</v>
      </c>
      <c r="L75" s="495">
        <v>43195</v>
      </c>
      <c r="M75" s="498">
        <v>169.34700000000001</v>
      </c>
      <c r="N75" s="495">
        <v>43559</v>
      </c>
      <c r="O75" s="498">
        <v>179.38200000000001</v>
      </c>
      <c r="P75" s="495">
        <v>43924</v>
      </c>
      <c r="Q75" s="498">
        <v>417.41699999999997</v>
      </c>
      <c r="R75" s="495">
        <v>44293</v>
      </c>
      <c r="S75" s="498">
        <v>212.78200000000001</v>
      </c>
      <c r="T75" s="495">
        <v>44656</v>
      </c>
      <c r="U75" s="498">
        <v>317.41500000000002</v>
      </c>
      <c r="V75" s="495">
        <v>45023</v>
      </c>
      <c r="W75" s="498">
        <v>397.31700000000001</v>
      </c>
    </row>
    <row r="76" spans="2:23">
      <c r="B76" s="495">
        <v>41372</v>
      </c>
      <c r="C76" s="496">
        <v>129</v>
      </c>
      <c r="D76" s="495">
        <v>41736</v>
      </c>
      <c r="E76" s="496">
        <v>154</v>
      </c>
      <c r="F76" s="495">
        <v>42087</v>
      </c>
      <c r="G76" s="496">
        <v>214</v>
      </c>
      <c r="H76" s="495">
        <v>42467</v>
      </c>
      <c r="I76" s="496">
        <v>320</v>
      </c>
      <c r="J76" s="495">
        <v>42831</v>
      </c>
      <c r="K76" s="497">
        <v>195.691</v>
      </c>
      <c r="L76" s="495">
        <v>43196</v>
      </c>
      <c r="M76" s="498">
        <v>173.864</v>
      </c>
      <c r="N76" s="495">
        <v>43560</v>
      </c>
      <c r="O76" s="498">
        <v>179.56200000000001</v>
      </c>
      <c r="P76" s="495">
        <v>43927</v>
      </c>
      <c r="Q76" s="498">
        <v>399.65199999999999</v>
      </c>
      <c r="R76" s="495">
        <v>44294</v>
      </c>
      <c r="S76" s="498">
        <v>216.208</v>
      </c>
      <c r="T76" s="495">
        <v>44657</v>
      </c>
      <c r="U76" s="498">
        <v>322.40800000000002</v>
      </c>
      <c r="V76" s="495">
        <v>45026</v>
      </c>
      <c r="W76" s="498">
        <v>400.89400000000001</v>
      </c>
    </row>
    <row r="77" spans="2:23">
      <c r="B77" s="495">
        <v>41373</v>
      </c>
      <c r="C77" s="496">
        <v>127</v>
      </c>
      <c r="D77" s="495">
        <v>41737</v>
      </c>
      <c r="E77" s="496">
        <v>156</v>
      </c>
      <c r="F77" s="495">
        <v>42088</v>
      </c>
      <c r="G77" s="496">
        <v>214</v>
      </c>
      <c r="H77" s="495">
        <v>42468</v>
      </c>
      <c r="I77" s="496">
        <v>315</v>
      </c>
      <c r="J77" s="495">
        <v>42832</v>
      </c>
      <c r="K77" s="497">
        <v>193.95099999999999</v>
      </c>
      <c r="L77" s="495">
        <v>43199</v>
      </c>
      <c r="M77" s="498">
        <v>174.31800000000001</v>
      </c>
      <c r="N77" s="495">
        <v>43563</v>
      </c>
      <c r="O77" s="498">
        <v>179.011</v>
      </c>
      <c r="P77" s="495">
        <v>43928</v>
      </c>
      <c r="Q77" s="498">
        <v>385.25400000000002</v>
      </c>
      <c r="R77" s="495">
        <v>44295</v>
      </c>
      <c r="S77" s="498">
        <v>213.321</v>
      </c>
      <c r="T77" s="495">
        <v>44658</v>
      </c>
      <c r="U77" s="498">
        <v>322.00099999999998</v>
      </c>
      <c r="V77" s="495">
        <v>45027</v>
      </c>
      <c r="W77" s="498">
        <v>402.82400000000001</v>
      </c>
    </row>
    <row r="78" spans="2:23">
      <c r="B78" s="495">
        <v>41374</v>
      </c>
      <c r="C78" s="496">
        <v>125</v>
      </c>
      <c r="D78" s="495">
        <v>41738</v>
      </c>
      <c r="E78" s="496">
        <v>156</v>
      </c>
      <c r="F78" s="495">
        <v>42089</v>
      </c>
      <c r="G78" s="496">
        <v>211</v>
      </c>
      <c r="H78" s="495">
        <v>42471</v>
      </c>
      <c r="I78" s="496">
        <v>307</v>
      </c>
      <c r="J78" s="495">
        <v>42835</v>
      </c>
      <c r="K78" s="497">
        <v>196.71899999999999</v>
      </c>
      <c r="L78" s="495">
        <v>43200</v>
      </c>
      <c r="M78" s="498">
        <v>173.816</v>
      </c>
      <c r="N78" s="495">
        <v>43564</v>
      </c>
      <c r="O78" s="498">
        <v>178.41900000000001</v>
      </c>
      <c r="P78" s="495">
        <v>43929</v>
      </c>
      <c r="Q78" s="498">
        <v>379.54599999999999</v>
      </c>
      <c r="R78" s="495">
        <v>44298</v>
      </c>
      <c r="S78" s="498">
        <v>215.357</v>
      </c>
      <c r="T78" s="495">
        <v>44659</v>
      </c>
      <c r="U78" s="498">
        <v>327.52199999999999</v>
      </c>
      <c r="V78" s="495">
        <v>45028</v>
      </c>
      <c r="W78" s="498">
        <v>403.77199999999999</v>
      </c>
    </row>
    <row r="79" spans="2:23">
      <c r="B79" s="495">
        <v>41375</v>
      </c>
      <c r="C79" s="496">
        <v>126</v>
      </c>
      <c r="D79" s="495">
        <v>41739</v>
      </c>
      <c r="E79" s="496">
        <v>156</v>
      </c>
      <c r="F79" s="495">
        <v>42090</v>
      </c>
      <c r="G79" s="496">
        <v>212</v>
      </c>
      <c r="H79" s="495">
        <v>42472</v>
      </c>
      <c r="I79" s="496">
        <v>297</v>
      </c>
      <c r="J79" s="495">
        <v>42836</v>
      </c>
      <c r="K79" s="497">
        <v>201.10599999999999</v>
      </c>
      <c r="L79" s="495">
        <v>43201</v>
      </c>
      <c r="M79" s="498">
        <v>171.61199999999999</v>
      </c>
      <c r="N79" s="495">
        <v>43565</v>
      </c>
      <c r="O79" s="498">
        <v>180.47900000000001</v>
      </c>
      <c r="P79" s="495">
        <v>43930</v>
      </c>
      <c r="Q79" s="498">
        <v>354.52300000000002</v>
      </c>
      <c r="R79" s="495">
        <v>44299</v>
      </c>
      <c r="S79" s="498">
        <v>218.73699999999999</v>
      </c>
      <c r="T79" s="495">
        <v>44662</v>
      </c>
      <c r="U79" s="498">
        <v>339.10500000000002</v>
      </c>
      <c r="V79" s="495">
        <v>45029</v>
      </c>
      <c r="W79" s="498">
        <v>399.13299999999998</v>
      </c>
    </row>
    <row r="80" spans="2:23">
      <c r="B80" s="495">
        <v>41376</v>
      </c>
      <c r="C80" s="496">
        <v>128</v>
      </c>
      <c r="D80" s="495">
        <v>41740</v>
      </c>
      <c r="E80" s="496">
        <v>158</v>
      </c>
      <c r="F80" s="495">
        <v>42091</v>
      </c>
      <c r="G80" s="496">
        <v>212</v>
      </c>
      <c r="H80" s="495">
        <v>42473</v>
      </c>
      <c r="I80" s="496">
        <v>290</v>
      </c>
      <c r="J80" s="495">
        <v>42837</v>
      </c>
      <c r="K80" s="497">
        <v>200.95500000000001</v>
      </c>
      <c r="L80" s="495">
        <v>43202</v>
      </c>
      <c r="M80" s="498">
        <v>168.68100000000001</v>
      </c>
      <c r="N80" s="495">
        <v>43566</v>
      </c>
      <c r="O80" s="498">
        <v>177.923</v>
      </c>
      <c r="P80" s="495">
        <v>43934</v>
      </c>
      <c r="Q80" s="498">
        <v>339.92099999999999</v>
      </c>
      <c r="R80" s="495">
        <v>44300</v>
      </c>
      <c r="S80" s="498">
        <v>214.90199999999999</v>
      </c>
      <c r="T80" s="495">
        <v>44663</v>
      </c>
      <c r="U80" s="498">
        <v>345.12700000000001</v>
      </c>
      <c r="V80" s="495">
        <v>45030</v>
      </c>
      <c r="W80" s="498">
        <v>395.80500000000001</v>
      </c>
    </row>
    <row r="81" spans="2:23">
      <c r="B81" s="495">
        <v>41379</v>
      </c>
      <c r="C81" s="496">
        <v>132</v>
      </c>
      <c r="D81" s="495">
        <v>41743</v>
      </c>
      <c r="E81" s="496">
        <v>160</v>
      </c>
      <c r="F81" s="495">
        <v>42092</v>
      </c>
      <c r="G81" s="496">
        <v>214</v>
      </c>
      <c r="H81" s="495">
        <v>42474</v>
      </c>
      <c r="I81" s="496">
        <v>284</v>
      </c>
      <c r="J81" s="495">
        <v>42838</v>
      </c>
      <c r="K81" s="497">
        <v>201.208</v>
      </c>
      <c r="L81" s="495">
        <v>43203</v>
      </c>
      <c r="M81" s="498">
        <v>170.9</v>
      </c>
      <c r="N81" s="495">
        <v>43567</v>
      </c>
      <c r="O81" s="498">
        <v>176.10300000000001</v>
      </c>
      <c r="P81" s="495">
        <v>43935</v>
      </c>
      <c r="Q81" s="498">
        <v>330.952</v>
      </c>
      <c r="R81" s="495">
        <v>44301</v>
      </c>
      <c r="S81" s="498">
        <v>215.13800000000001</v>
      </c>
      <c r="T81" s="495">
        <v>44664</v>
      </c>
      <c r="U81" s="498">
        <v>350.04700000000003</v>
      </c>
      <c r="V81" s="495">
        <v>45033</v>
      </c>
      <c r="W81" s="498">
        <v>395.97500000000002</v>
      </c>
    </row>
    <row r="82" spans="2:23">
      <c r="B82" s="495">
        <v>41380</v>
      </c>
      <c r="C82" s="496">
        <v>128</v>
      </c>
      <c r="D82" s="495">
        <v>41744</v>
      </c>
      <c r="E82" s="496">
        <v>164</v>
      </c>
      <c r="F82" s="495">
        <v>42093</v>
      </c>
      <c r="G82" s="496">
        <v>214</v>
      </c>
      <c r="H82" s="495">
        <v>42475</v>
      </c>
      <c r="I82" s="496">
        <v>291</v>
      </c>
      <c r="J82" s="495">
        <v>42842</v>
      </c>
      <c r="K82" s="497">
        <v>198.43700000000001</v>
      </c>
      <c r="L82" s="495">
        <v>43206</v>
      </c>
      <c r="M82" s="498">
        <v>172.84399999999999</v>
      </c>
      <c r="N82" s="495">
        <v>43570</v>
      </c>
      <c r="O82" s="498">
        <v>177.375</v>
      </c>
      <c r="P82" s="495">
        <v>43936</v>
      </c>
      <c r="Q82" s="498">
        <v>358.721</v>
      </c>
      <c r="R82" s="495">
        <v>44302</v>
      </c>
      <c r="S82" s="498">
        <v>211.67400000000001</v>
      </c>
      <c r="T82" s="495">
        <v>44665</v>
      </c>
      <c r="U82" s="498">
        <v>345.09199999999998</v>
      </c>
      <c r="V82" s="495">
        <v>45034</v>
      </c>
      <c r="W82" s="498">
        <v>396.25599999999997</v>
      </c>
    </row>
    <row r="83" spans="2:23">
      <c r="B83" s="495">
        <v>41381</v>
      </c>
      <c r="C83" s="496">
        <v>128</v>
      </c>
      <c r="D83" s="495">
        <v>41745</v>
      </c>
      <c r="E83" s="496">
        <v>163</v>
      </c>
      <c r="F83" s="495">
        <v>42094</v>
      </c>
      <c r="G83" s="496">
        <v>217</v>
      </c>
      <c r="H83" s="495">
        <v>42478</v>
      </c>
      <c r="I83" s="496">
        <v>289</v>
      </c>
      <c r="J83" s="495">
        <v>42843</v>
      </c>
      <c r="K83" s="497">
        <v>203.35400000000001</v>
      </c>
      <c r="L83" s="495">
        <v>43207</v>
      </c>
      <c r="M83" s="498">
        <v>174.56899999999999</v>
      </c>
      <c r="N83" s="495">
        <v>43571</v>
      </c>
      <c r="O83" s="498">
        <v>174.88300000000001</v>
      </c>
      <c r="P83" s="495">
        <v>43937</v>
      </c>
      <c r="Q83" s="498">
        <v>374.14</v>
      </c>
      <c r="R83" s="495">
        <v>44305</v>
      </c>
      <c r="S83" s="498">
        <v>216.20699999999999</v>
      </c>
      <c r="T83" s="495">
        <v>44669</v>
      </c>
      <c r="U83" s="498">
        <v>346.68700000000001</v>
      </c>
      <c r="V83" s="495">
        <v>45035</v>
      </c>
      <c r="W83" s="498">
        <v>398.02</v>
      </c>
    </row>
    <row r="84" spans="2:23">
      <c r="B84" s="495">
        <v>41382</v>
      </c>
      <c r="C84" s="496">
        <v>132</v>
      </c>
      <c r="D84" s="495">
        <v>41746</v>
      </c>
      <c r="E84" s="496">
        <v>154</v>
      </c>
      <c r="F84" s="495">
        <v>42095</v>
      </c>
      <c r="G84" s="496">
        <v>222</v>
      </c>
      <c r="H84" s="495">
        <v>42479</v>
      </c>
      <c r="I84" s="496">
        <v>277</v>
      </c>
      <c r="J84" s="495">
        <v>42844</v>
      </c>
      <c r="K84" s="497">
        <v>198.38900000000001</v>
      </c>
      <c r="L84" s="495">
        <v>43208</v>
      </c>
      <c r="M84" s="498">
        <v>170.19800000000001</v>
      </c>
      <c r="N84" s="495">
        <v>43572</v>
      </c>
      <c r="O84" s="498">
        <v>175.279</v>
      </c>
      <c r="P84" s="495">
        <v>43938</v>
      </c>
      <c r="Q84" s="498">
        <v>368.233</v>
      </c>
      <c r="R84" s="495">
        <v>44306</v>
      </c>
      <c r="S84" s="498">
        <v>225.274</v>
      </c>
      <c r="T84" s="495">
        <v>44670</v>
      </c>
      <c r="U84" s="498">
        <v>347.428</v>
      </c>
      <c r="V84" s="495">
        <v>45036</v>
      </c>
      <c r="W84" s="498">
        <v>405.54300000000001</v>
      </c>
    </row>
    <row r="85" spans="2:23">
      <c r="B85" s="495">
        <v>41383</v>
      </c>
      <c r="C85" s="496">
        <v>133</v>
      </c>
      <c r="D85" s="495">
        <v>41750</v>
      </c>
      <c r="E85" s="496">
        <v>154</v>
      </c>
      <c r="F85" s="495">
        <v>42096</v>
      </c>
      <c r="G85" s="496">
        <v>220</v>
      </c>
      <c r="H85" s="495">
        <v>42480</v>
      </c>
      <c r="I85" s="496">
        <v>268</v>
      </c>
      <c r="J85" s="495">
        <v>42845</v>
      </c>
      <c r="K85" s="497">
        <v>198.16</v>
      </c>
      <c r="L85" s="495">
        <v>43209</v>
      </c>
      <c r="M85" s="498">
        <v>169.911</v>
      </c>
      <c r="N85" s="495">
        <v>43573</v>
      </c>
      <c r="O85" s="498">
        <v>176.77199999999999</v>
      </c>
      <c r="P85" s="495">
        <v>43941</v>
      </c>
      <c r="Q85" s="498">
        <v>378.10899999999998</v>
      </c>
      <c r="R85" s="495">
        <v>44307</v>
      </c>
      <c r="S85" s="498">
        <v>223.94499999999999</v>
      </c>
      <c r="T85" s="495">
        <v>44671</v>
      </c>
      <c r="U85" s="498">
        <v>345.93700000000001</v>
      </c>
      <c r="V85" s="495">
        <v>45037</v>
      </c>
      <c r="W85" s="498">
        <v>400.60700000000003</v>
      </c>
    </row>
    <row r="86" spans="2:23">
      <c r="B86" s="495">
        <v>41386</v>
      </c>
      <c r="C86" s="496">
        <v>136</v>
      </c>
      <c r="D86" s="495">
        <v>41751</v>
      </c>
      <c r="E86" s="496">
        <v>157</v>
      </c>
      <c r="F86" s="495">
        <v>42097</v>
      </c>
      <c r="G86" s="496">
        <v>214</v>
      </c>
      <c r="H86" s="495">
        <v>42481</v>
      </c>
      <c r="I86" s="496">
        <v>270</v>
      </c>
      <c r="J86" s="495">
        <v>42846</v>
      </c>
      <c r="K86" s="497">
        <v>195.22900000000001</v>
      </c>
      <c r="L86" s="495">
        <v>43210</v>
      </c>
      <c r="M86" s="498">
        <v>169.49</v>
      </c>
      <c r="N86" s="495">
        <v>43577</v>
      </c>
      <c r="O86" s="498">
        <v>174.61600000000001</v>
      </c>
      <c r="P86" s="495">
        <v>43942</v>
      </c>
      <c r="Q86" s="498">
        <v>397.75</v>
      </c>
      <c r="R86" s="495">
        <v>44308</v>
      </c>
      <c r="S86" s="498">
        <v>229.07300000000001</v>
      </c>
      <c r="T86" s="495">
        <v>44672</v>
      </c>
      <c r="U86" s="498">
        <v>344.47899999999998</v>
      </c>
      <c r="V86" s="495">
        <v>45040</v>
      </c>
      <c r="W86" s="498">
        <v>401.61399999999998</v>
      </c>
    </row>
    <row r="87" spans="2:23">
      <c r="B87" s="495">
        <v>41387</v>
      </c>
      <c r="C87" s="496">
        <v>134</v>
      </c>
      <c r="D87" s="495">
        <v>41752</v>
      </c>
      <c r="E87" s="496">
        <v>160</v>
      </c>
      <c r="F87" s="495">
        <v>42098</v>
      </c>
      <c r="G87" s="496">
        <v>208</v>
      </c>
      <c r="H87" s="495">
        <v>42482</v>
      </c>
      <c r="I87" s="496">
        <v>278</v>
      </c>
      <c r="J87" s="495">
        <v>42849</v>
      </c>
      <c r="K87" s="497">
        <v>191.52</v>
      </c>
      <c r="L87" s="495">
        <v>43213</v>
      </c>
      <c r="M87" s="498">
        <v>170.483</v>
      </c>
      <c r="N87" s="495">
        <v>43578</v>
      </c>
      <c r="O87" s="498">
        <v>172.221</v>
      </c>
      <c r="P87" s="495">
        <v>43943</v>
      </c>
      <c r="Q87" s="498">
        <v>404.58699999999999</v>
      </c>
      <c r="R87" s="495">
        <v>44309</v>
      </c>
      <c r="S87" s="498">
        <v>228.37</v>
      </c>
      <c r="T87" s="495">
        <v>44673</v>
      </c>
      <c r="U87" s="498">
        <v>353.57799999999997</v>
      </c>
      <c r="V87" s="495">
        <v>45041</v>
      </c>
      <c r="W87" s="498">
        <v>400.64699999999999</v>
      </c>
    </row>
    <row r="88" spans="2:23">
      <c r="B88" s="495">
        <v>41388</v>
      </c>
      <c r="C88" s="496">
        <v>136</v>
      </c>
      <c r="D88" s="495">
        <v>41753</v>
      </c>
      <c r="E88" s="496">
        <v>160</v>
      </c>
      <c r="F88" s="495">
        <v>42099</v>
      </c>
      <c r="G88" s="496">
        <v>209</v>
      </c>
      <c r="H88" s="495">
        <v>42485</v>
      </c>
      <c r="I88" s="496">
        <v>280</v>
      </c>
      <c r="J88" s="495">
        <v>42850</v>
      </c>
      <c r="K88" s="497">
        <v>190.42500000000001</v>
      </c>
      <c r="L88" s="495">
        <v>43214</v>
      </c>
      <c r="M88" s="498">
        <v>170.95099999999999</v>
      </c>
      <c r="N88" s="495">
        <v>43579</v>
      </c>
      <c r="O88" s="498">
        <v>173.934</v>
      </c>
      <c r="P88" s="495">
        <v>43944</v>
      </c>
      <c r="Q88" s="498">
        <v>408.99900000000002</v>
      </c>
      <c r="R88" s="495">
        <v>44312</v>
      </c>
      <c r="S88" s="498">
        <v>232.863</v>
      </c>
      <c r="T88" s="495">
        <v>44676</v>
      </c>
      <c r="U88" s="498">
        <v>357.65699999999998</v>
      </c>
      <c r="V88" s="495">
        <v>45042</v>
      </c>
      <c r="W88" s="498">
        <v>432.09399999999999</v>
      </c>
    </row>
    <row r="89" spans="2:23">
      <c r="B89" s="495">
        <v>41389</v>
      </c>
      <c r="C89" s="496">
        <v>136</v>
      </c>
      <c r="D89" s="495">
        <v>41754</v>
      </c>
      <c r="E89" s="496">
        <v>162</v>
      </c>
      <c r="F89" s="495">
        <v>42100</v>
      </c>
      <c r="G89" s="496">
        <v>208</v>
      </c>
      <c r="H89" s="495">
        <v>42486</v>
      </c>
      <c r="I89" s="496">
        <v>280</v>
      </c>
      <c r="J89" s="495">
        <v>42851</v>
      </c>
      <c r="K89" s="497">
        <v>193.88900000000001</v>
      </c>
      <c r="L89" s="495">
        <v>43215</v>
      </c>
      <c r="M89" s="498">
        <v>171.23599999999999</v>
      </c>
      <c r="N89" s="495">
        <v>43580</v>
      </c>
      <c r="O89" s="498">
        <v>175.036</v>
      </c>
      <c r="P89" s="495">
        <v>43945</v>
      </c>
      <c r="Q89" s="498">
        <v>420.16</v>
      </c>
      <c r="R89" s="495">
        <v>44313</v>
      </c>
      <c r="S89" s="498">
        <v>237.328</v>
      </c>
      <c r="T89" s="495">
        <v>44677</v>
      </c>
      <c r="U89" s="498">
        <v>360.745</v>
      </c>
      <c r="V89" s="495">
        <v>45043</v>
      </c>
      <c r="W89" s="498">
        <v>425.24400000000003</v>
      </c>
    </row>
    <row r="90" spans="2:23">
      <c r="B90" s="495">
        <v>41390</v>
      </c>
      <c r="C90" s="496">
        <v>138</v>
      </c>
      <c r="D90" s="495">
        <v>41757</v>
      </c>
      <c r="E90" s="496">
        <v>159</v>
      </c>
      <c r="F90" s="495">
        <v>42101</v>
      </c>
      <c r="G90" s="496">
        <v>209</v>
      </c>
      <c r="H90" s="495">
        <v>42487</v>
      </c>
      <c r="I90" s="496">
        <v>279</v>
      </c>
      <c r="J90" s="495">
        <v>42852</v>
      </c>
      <c r="K90" s="497">
        <v>194.66499999999999</v>
      </c>
      <c r="L90" s="495">
        <v>43216</v>
      </c>
      <c r="M90" s="498">
        <v>175.52099999999999</v>
      </c>
      <c r="N90" s="495">
        <v>43581</v>
      </c>
      <c r="O90" s="498">
        <v>173.077</v>
      </c>
      <c r="P90" s="495">
        <v>43948</v>
      </c>
      <c r="Q90" s="498">
        <v>426.71300000000002</v>
      </c>
      <c r="R90" s="495">
        <v>44314</v>
      </c>
      <c r="S90" s="498">
        <v>235.95699999999999</v>
      </c>
      <c r="T90" s="495">
        <v>44678</v>
      </c>
      <c r="U90" s="498">
        <v>358.55700000000002</v>
      </c>
      <c r="V90" s="495">
        <v>45044</v>
      </c>
      <c r="W90" s="498">
        <v>422.11200000000002</v>
      </c>
    </row>
    <row r="91" spans="2:23">
      <c r="B91" s="495">
        <v>41393</v>
      </c>
      <c r="C91" s="496">
        <v>133</v>
      </c>
      <c r="D91" s="495">
        <v>41758</v>
      </c>
      <c r="E91" s="496">
        <v>156</v>
      </c>
      <c r="F91" s="495">
        <v>42102</v>
      </c>
      <c r="G91" s="496">
        <v>204</v>
      </c>
      <c r="H91" s="495">
        <v>42488</v>
      </c>
      <c r="I91" s="496">
        <v>279</v>
      </c>
      <c r="J91" s="495">
        <v>42853</v>
      </c>
      <c r="K91" s="497">
        <v>194.63200000000001</v>
      </c>
      <c r="L91" s="495">
        <v>43217</v>
      </c>
      <c r="M91" s="498">
        <v>178.69200000000001</v>
      </c>
      <c r="N91" s="495">
        <v>43584</v>
      </c>
      <c r="O91" s="498">
        <v>171.89099999999999</v>
      </c>
      <c r="P91" s="495">
        <v>43949</v>
      </c>
      <c r="Q91" s="498">
        <v>429.90100000000001</v>
      </c>
      <c r="R91" s="495">
        <v>44315</v>
      </c>
      <c r="S91" s="498">
        <v>231.93799999999999</v>
      </c>
      <c r="T91" s="495">
        <v>44679</v>
      </c>
      <c r="U91" s="498">
        <v>365.89299999999997</v>
      </c>
      <c r="V91" s="495">
        <v>45047</v>
      </c>
      <c r="W91" s="498">
        <v>413.79300000000001</v>
      </c>
    </row>
    <row r="92" spans="2:23">
      <c r="B92" s="495">
        <v>41394</v>
      </c>
      <c r="C92" s="496">
        <v>132</v>
      </c>
      <c r="D92" s="495">
        <v>41759</v>
      </c>
      <c r="E92" s="496">
        <v>152</v>
      </c>
      <c r="F92" s="495">
        <v>42103</v>
      </c>
      <c r="G92" s="496">
        <v>204</v>
      </c>
      <c r="H92" s="495">
        <v>42489</v>
      </c>
      <c r="I92" s="496">
        <v>281</v>
      </c>
      <c r="J92" s="495">
        <v>42856</v>
      </c>
      <c r="K92" s="497">
        <v>191.01400000000001</v>
      </c>
      <c r="L92" s="495">
        <v>43220</v>
      </c>
      <c r="M92" s="498">
        <v>181.55</v>
      </c>
      <c r="N92" s="495">
        <v>43585</v>
      </c>
      <c r="O92" s="498">
        <v>175.60599999999999</v>
      </c>
      <c r="P92" s="495">
        <v>43950</v>
      </c>
      <c r="Q92" s="498">
        <v>417.83300000000003</v>
      </c>
      <c r="R92" s="495">
        <v>44316</v>
      </c>
      <c r="S92" s="498">
        <v>225.983</v>
      </c>
      <c r="T92" s="495">
        <v>44680</v>
      </c>
      <c r="U92" s="498">
        <v>374.54899999999998</v>
      </c>
      <c r="V92" s="495">
        <v>45048</v>
      </c>
      <c r="W92" s="498">
        <v>425.26299999999998</v>
      </c>
    </row>
    <row r="93" spans="2:23">
      <c r="B93" s="495">
        <v>41395</v>
      </c>
      <c r="C93" s="496">
        <v>128</v>
      </c>
      <c r="D93" s="495">
        <v>41760</v>
      </c>
      <c r="E93" s="496">
        <v>155</v>
      </c>
      <c r="F93" s="495">
        <v>42104</v>
      </c>
      <c r="G93" s="496">
        <v>210</v>
      </c>
      <c r="H93" s="495">
        <v>42492</v>
      </c>
      <c r="I93" s="496">
        <v>278</v>
      </c>
      <c r="J93" s="495">
        <v>42857</v>
      </c>
      <c r="K93" s="497">
        <v>191.15100000000001</v>
      </c>
      <c r="L93" s="495">
        <v>43221</v>
      </c>
      <c r="M93" s="498">
        <v>181.71799999999999</v>
      </c>
      <c r="N93" s="495">
        <v>43586</v>
      </c>
      <c r="O93" s="498">
        <v>173.55699999999999</v>
      </c>
      <c r="P93" s="495">
        <v>43951</v>
      </c>
      <c r="Q93" s="498">
        <v>392.38</v>
      </c>
      <c r="R93" s="495">
        <v>44319</v>
      </c>
      <c r="S93" s="498">
        <v>236.61500000000001</v>
      </c>
      <c r="T93" s="495">
        <v>44683</v>
      </c>
      <c r="U93" s="498">
        <v>387.30599999999998</v>
      </c>
      <c r="V93" s="495">
        <v>45049</v>
      </c>
      <c r="W93" s="498">
        <v>425.12</v>
      </c>
    </row>
    <row r="94" spans="2:23">
      <c r="B94" s="495">
        <v>41396</v>
      </c>
      <c r="C94" s="496">
        <v>123</v>
      </c>
      <c r="D94" s="495">
        <v>41761</v>
      </c>
      <c r="E94" s="496">
        <v>155</v>
      </c>
      <c r="F94" s="495">
        <v>42105</v>
      </c>
      <c r="G94" s="496">
        <v>209</v>
      </c>
      <c r="H94" s="495">
        <v>42493</v>
      </c>
      <c r="I94" s="496">
        <v>288</v>
      </c>
      <c r="J94" s="495">
        <v>42858</v>
      </c>
      <c r="K94" s="497">
        <v>189.809</v>
      </c>
      <c r="L94" s="495">
        <v>43222</v>
      </c>
      <c r="M94" s="498">
        <v>187.91</v>
      </c>
      <c r="N94" s="495">
        <v>43587</v>
      </c>
      <c r="O94" s="498">
        <v>175.124</v>
      </c>
      <c r="P94" s="495">
        <v>43952</v>
      </c>
      <c r="Q94" s="498">
        <v>387.42</v>
      </c>
      <c r="R94" s="495">
        <v>44320</v>
      </c>
      <c r="S94" s="498">
        <v>239.459</v>
      </c>
      <c r="T94" s="495">
        <v>44684</v>
      </c>
      <c r="U94" s="498">
        <v>386.65</v>
      </c>
      <c r="V94" s="495">
        <v>45050</v>
      </c>
      <c r="W94" s="498">
        <v>427.49700000000001</v>
      </c>
    </row>
    <row r="95" spans="2:23">
      <c r="B95" s="495">
        <v>41397</v>
      </c>
      <c r="C95" s="496">
        <v>122</v>
      </c>
      <c r="D95" s="495">
        <v>41764</v>
      </c>
      <c r="E95" s="496">
        <v>156</v>
      </c>
      <c r="F95" s="495">
        <v>42106</v>
      </c>
      <c r="G95" s="496">
        <v>205</v>
      </c>
      <c r="H95" s="495">
        <v>42494</v>
      </c>
      <c r="I95" s="496">
        <v>297</v>
      </c>
      <c r="J95" s="495">
        <v>42859</v>
      </c>
      <c r="K95" s="497">
        <v>194.221</v>
      </c>
      <c r="L95" s="495">
        <v>43223</v>
      </c>
      <c r="M95" s="498">
        <v>197.523</v>
      </c>
      <c r="N95" s="495">
        <v>43588</v>
      </c>
      <c r="O95" s="498">
        <v>174.744</v>
      </c>
      <c r="P95" s="495">
        <v>43955</v>
      </c>
      <c r="Q95" s="498">
        <v>384.35500000000002</v>
      </c>
      <c r="R95" s="495">
        <v>44321</v>
      </c>
      <c r="S95" s="498">
        <v>242.02799999999999</v>
      </c>
      <c r="T95" s="495">
        <v>44685</v>
      </c>
      <c r="U95" s="498">
        <v>382.8</v>
      </c>
      <c r="V95" s="495">
        <v>45051</v>
      </c>
      <c r="W95" s="498">
        <v>424.53500000000003</v>
      </c>
    </row>
    <row r="96" spans="2:23">
      <c r="B96" s="495">
        <v>41400</v>
      </c>
      <c r="C96" s="496">
        <v>124</v>
      </c>
      <c r="D96" s="495">
        <v>41765</v>
      </c>
      <c r="E96" s="496">
        <v>152</v>
      </c>
      <c r="F96" s="495">
        <v>42107</v>
      </c>
      <c r="G96" s="496">
        <v>203</v>
      </c>
      <c r="H96" s="495">
        <v>42495</v>
      </c>
      <c r="I96" s="496">
        <v>299</v>
      </c>
      <c r="J96" s="495">
        <v>42860</v>
      </c>
      <c r="K96" s="497">
        <v>195.34700000000001</v>
      </c>
      <c r="L96" s="495">
        <v>43224</v>
      </c>
      <c r="M96" s="498">
        <v>194.822</v>
      </c>
      <c r="N96" s="495">
        <v>43591</v>
      </c>
      <c r="O96" s="498">
        <v>177.05500000000001</v>
      </c>
      <c r="P96" s="495">
        <v>43956</v>
      </c>
      <c r="Q96" s="498">
        <v>366.33</v>
      </c>
      <c r="R96" s="495">
        <v>44322</v>
      </c>
      <c r="S96" s="498">
        <v>236.57599999999999</v>
      </c>
      <c r="T96" s="495">
        <v>44686</v>
      </c>
      <c r="U96" s="498">
        <v>378.75400000000002</v>
      </c>
      <c r="V96" s="495">
        <v>45054</v>
      </c>
      <c r="W96" s="498">
        <v>420.86399999999998</v>
      </c>
    </row>
    <row r="97" spans="2:23">
      <c r="B97" s="495">
        <v>41401</v>
      </c>
      <c r="C97" s="496">
        <v>123</v>
      </c>
      <c r="D97" s="495">
        <v>41766</v>
      </c>
      <c r="E97" s="496">
        <v>149</v>
      </c>
      <c r="F97" s="495">
        <v>42108</v>
      </c>
      <c r="G97" s="496">
        <v>214</v>
      </c>
      <c r="H97" s="495">
        <v>42496</v>
      </c>
      <c r="I97" s="496">
        <v>295</v>
      </c>
      <c r="J97" s="495">
        <v>42863</v>
      </c>
      <c r="K97" s="497">
        <v>193.88399999999999</v>
      </c>
      <c r="L97" s="495">
        <v>43227</v>
      </c>
      <c r="M97" s="498">
        <v>190.68799999999999</v>
      </c>
      <c r="N97" s="495">
        <v>43592</v>
      </c>
      <c r="O97" s="498">
        <v>185.333</v>
      </c>
      <c r="P97" s="495">
        <v>43957</v>
      </c>
      <c r="Q97" s="498">
        <v>365.56299999999999</v>
      </c>
      <c r="R97" s="495">
        <v>44323</v>
      </c>
      <c r="S97" s="498">
        <v>224.52600000000001</v>
      </c>
      <c r="T97" s="495">
        <v>44687</v>
      </c>
      <c r="U97" s="498">
        <v>380.91899999999998</v>
      </c>
      <c r="V97" s="495">
        <v>45055</v>
      </c>
      <c r="W97" s="498">
        <v>419.637</v>
      </c>
    </row>
    <row r="98" spans="2:23">
      <c r="B98" s="495">
        <v>41402</v>
      </c>
      <c r="C98" s="496">
        <v>126</v>
      </c>
      <c r="D98" s="495">
        <v>41767</v>
      </c>
      <c r="E98" s="496">
        <v>144</v>
      </c>
      <c r="F98" s="495">
        <v>42109</v>
      </c>
      <c r="G98" s="496">
        <v>214</v>
      </c>
      <c r="H98" s="495">
        <v>42499</v>
      </c>
      <c r="I98" s="496">
        <v>299</v>
      </c>
      <c r="J98" s="495">
        <v>42864</v>
      </c>
      <c r="K98" s="497">
        <v>194.43700000000001</v>
      </c>
      <c r="L98" s="495">
        <v>43228</v>
      </c>
      <c r="M98" s="498">
        <v>195.04300000000001</v>
      </c>
      <c r="N98" s="495">
        <v>43593</v>
      </c>
      <c r="O98" s="498">
        <v>182.535</v>
      </c>
      <c r="P98" s="495">
        <v>43958</v>
      </c>
      <c r="Q98" s="498">
        <v>366.87700000000001</v>
      </c>
      <c r="R98" s="495">
        <v>44326</v>
      </c>
      <c r="S98" s="498">
        <v>219.51</v>
      </c>
      <c r="T98" s="495">
        <v>44690</v>
      </c>
      <c r="U98" s="498">
        <v>407.82600000000002</v>
      </c>
      <c r="V98" s="495">
        <v>45056</v>
      </c>
      <c r="W98" s="498">
        <v>418.89299999999997</v>
      </c>
    </row>
    <row r="99" spans="2:23">
      <c r="B99" s="495">
        <v>41403</v>
      </c>
      <c r="C99" s="496">
        <v>122</v>
      </c>
      <c r="D99" s="495">
        <v>41768</v>
      </c>
      <c r="E99" s="496">
        <v>146</v>
      </c>
      <c r="F99" s="495">
        <v>42110</v>
      </c>
      <c r="G99" s="496">
        <v>217</v>
      </c>
      <c r="H99" s="495">
        <v>42500</v>
      </c>
      <c r="I99" s="496">
        <v>293</v>
      </c>
      <c r="J99" s="495">
        <v>42865</v>
      </c>
      <c r="K99" s="497">
        <v>190.65799999999999</v>
      </c>
      <c r="L99" s="495">
        <v>43229</v>
      </c>
      <c r="M99" s="498">
        <v>190.53100000000001</v>
      </c>
      <c r="N99" s="495">
        <v>43594</v>
      </c>
      <c r="O99" s="498">
        <v>188.41499999999999</v>
      </c>
      <c r="P99" s="495">
        <v>43959</v>
      </c>
      <c r="Q99" s="498">
        <v>351.19299999999998</v>
      </c>
      <c r="R99" s="495">
        <v>44327</v>
      </c>
      <c r="S99" s="498">
        <v>223.291</v>
      </c>
      <c r="T99" s="495">
        <v>44691</v>
      </c>
      <c r="U99" s="498">
        <v>396.14800000000002</v>
      </c>
      <c r="V99" s="495">
        <v>45057</v>
      </c>
      <c r="W99" s="498">
        <v>416.291</v>
      </c>
    </row>
    <row r="100" spans="2:23">
      <c r="B100" s="495">
        <v>41404</v>
      </c>
      <c r="C100" s="496">
        <v>120</v>
      </c>
      <c r="D100" s="495">
        <v>41771</v>
      </c>
      <c r="E100" s="496">
        <v>146</v>
      </c>
      <c r="F100" s="495">
        <v>42111</v>
      </c>
      <c r="G100" s="496">
        <v>222</v>
      </c>
      <c r="H100" s="495">
        <v>42501</v>
      </c>
      <c r="I100" s="496">
        <v>289</v>
      </c>
      <c r="J100" s="495">
        <v>42866</v>
      </c>
      <c r="K100" s="497">
        <v>189.53100000000001</v>
      </c>
      <c r="L100" s="495">
        <v>43230</v>
      </c>
      <c r="M100" s="498">
        <v>181.381</v>
      </c>
      <c r="N100" s="495">
        <v>43595</v>
      </c>
      <c r="O100" s="498">
        <v>187.35499999999999</v>
      </c>
      <c r="P100" s="495">
        <v>43962</v>
      </c>
      <c r="Q100" s="498">
        <v>345.71800000000002</v>
      </c>
      <c r="R100" s="495">
        <v>44328</v>
      </c>
      <c r="S100" s="498">
        <v>226.31800000000001</v>
      </c>
      <c r="T100" s="495">
        <v>44692</v>
      </c>
      <c r="U100" s="498">
        <v>389.04399999999998</v>
      </c>
      <c r="V100" s="495">
        <v>45058</v>
      </c>
      <c r="W100" s="498">
        <v>418.32400000000001</v>
      </c>
    </row>
    <row r="101" spans="2:23">
      <c r="B101" s="495">
        <v>41407</v>
      </c>
      <c r="C101" s="496">
        <v>126</v>
      </c>
      <c r="D101" s="495">
        <v>41772</v>
      </c>
      <c r="E101" s="496">
        <v>146</v>
      </c>
      <c r="F101" s="495">
        <v>42114</v>
      </c>
      <c r="G101" s="496">
        <v>220</v>
      </c>
      <c r="H101" s="495">
        <v>42502</v>
      </c>
      <c r="I101" s="496">
        <v>285</v>
      </c>
      <c r="J101" s="495">
        <v>42867</v>
      </c>
      <c r="K101" s="497">
        <v>192.666</v>
      </c>
      <c r="L101" s="495">
        <v>43231</v>
      </c>
      <c r="M101" s="498">
        <v>177.482</v>
      </c>
      <c r="N101" s="495">
        <v>43598</v>
      </c>
      <c r="O101" s="498">
        <v>195.35300000000001</v>
      </c>
      <c r="P101" s="495">
        <v>43963</v>
      </c>
      <c r="Q101" s="498">
        <v>346.63400000000001</v>
      </c>
      <c r="R101" s="495">
        <v>44329</v>
      </c>
      <c r="S101" s="498">
        <v>227.15600000000001</v>
      </c>
      <c r="T101" s="495">
        <v>44693</v>
      </c>
      <c r="U101" s="498">
        <v>392.81</v>
      </c>
      <c r="V101" s="495">
        <v>45061</v>
      </c>
      <c r="W101" s="498">
        <v>421.04</v>
      </c>
    </row>
    <row r="102" spans="2:23">
      <c r="B102" s="495">
        <v>41408</v>
      </c>
      <c r="C102" s="496">
        <v>123</v>
      </c>
      <c r="D102" s="495">
        <v>41773</v>
      </c>
      <c r="E102" s="496">
        <v>147</v>
      </c>
      <c r="F102" s="495">
        <v>42115</v>
      </c>
      <c r="G102" s="496">
        <v>214</v>
      </c>
      <c r="H102" s="495">
        <v>42503</v>
      </c>
      <c r="I102" s="496">
        <v>291</v>
      </c>
      <c r="J102" s="495">
        <v>42870</v>
      </c>
      <c r="K102" s="497">
        <v>189.71700000000001</v>
      </c>
      <c r="L102" s="495">
        <v>43234</v>
      </c>
      <c r="M102" s="498">
        <v>177</v>
      </c>
      <c r="N102" s="495">
        <v>43599</v>
      </c>
      <c r="O102" s="498">
        <v>188.61199999999999</v>
      </c>
      <c r="P102" s="495">
        <v>43964</v>
      </c>
      <c r="Q102" s="498">
        <v>360.18799999999999</v>
      </c>
      <c r="R102" s="495">
        <v>44330</v>
      </c>
      <c r="S102" s="498">
        <v>229.833</v>
      </c>
      <c r="T102" s="495">
        <v>44694</v>
      </c>
      <c r="U102" s="498">
        <v>386.41</v>
      </c>
      <c r="V102" s="495">
        <v>45062</v>
      </c>
      <c r="W102" s="498">
        <v>415.32499999999999</v>
      </c>
    </row>
    <row r="103" spans="2:23">
      <c r="B103" s="495">
        <v>41409</v>
      </c>
      <c r="C103" s="496">
        <v>130</v>
      </c>
      <c r="D103" s="495">
        <v>41774</v>
      </c>
      <c r="E103" s="496">
        <v>151</v>
      </c>
      <c r="F103" s="495">
        <v>42116</v>
      </c>
      <c r="G103" s="496">
        <v>208</v>
      </c>
      <c r="H103" s="495">
        <v>42506</v>
      </c>
      <c r="I103" s="496">
        <v>284</v>
      </c>
      <c r="J103" s="495">
        <v>42871</v>
      </c>
      <c r="K103" s="497">
        <v>188.887</v>
      </c>
      <c r="L103" s="495">
        <v>43235</v>
      </c>
      <c r="M103" s="498">
        <v>180.25800000000001</v>
      </c>
      <c r="N103" s="495">
        <v>43600</v>
      </c>
      <c r="O103" s="498">
        <v>189.84899999999999</v>
      </c>
      <c r="P103" s="495">
        <v>43965</v>
      </c>
      <c r="Q103" s="498">
        <v>368.49299999999999</v>
      </c>
      <c r="R103" s="495">
        <v>44333</v>
      </c>
      <c r="S103" s="498">
        <v>231.01400000000001</v>
      </c>
      <c r="T103" s="495">
        <v>44697</v>
      </c>
      <c r="U103" s="498">
        <v>390.47500000000002</v>
      </c>
      <c r="V103" s="495">
        <v>45063</v>
      </c>
      <c r="W103" s="498">
        <v>411.25400000000002</v>
      </c>
    </row>
    <row r="104" spans="2:23">
      <c r="B104" s="495">
        <v>41410</v>
      </c>
      <c r="C104" s="496">
        <v>137</v>
      </c>
      <c r="D104" s="495">
        <v>41775</v>
      </c>
      <c r="E104" s="496">
        <v>152</v>
      </c>
      <c r="F104" s="495">
        <v>42117</v>
      </c>
      <c r="G104" s="496">
        <v>209</v>
      </c>
      <c r="H104" s="495">
        <v>42507</v>
      </c>
      <c r="I104" s="496">
        <v>283</v>
      </c>
      <c r="J104" s="495">
        <v>42872</v>
      </c>
      <c r="K104" s="497">
        <v>197.63800000000001</v>
      </c>
      <c r="L104" s="495">
        <v>43236</v>
      </c>
      <c r="M104" s="498">
        <v>177.691</v>
      </c>
      <c r="N104" s="495">
        <v>43601</v>
      </c>
      <c r="O104" s="498">
        <v>188.56800000000001</v>
      </c>
      <c r="P104" s="495">
        <v>43966</v>
      </c>
      <c r="Q104" s="498">
        <v>360.67</v>
      </c>
      <c r="R104" s="495">
        <v>44334</v>
      </c>
      <c r="S104" s="498">
        <v>228.749</v>
      </c>
      <c r="T104" s="495">
        <v>44698</v>
      </c>
      <c r="U104" s="498">
        <v>388.70800000000003</v>
      </c>
      <c r="V104" s="495">
        <v>45064</v>
      </c>
      <c r="W104" s="498">
        <v>404.39100000000002</v>
      </c>
    </row>
    <row r="105" spans="2:23">
      <c r="B105" s="495">
        <v>41411</v>
      </c>
      <c r="C105" s="496">
        <v>134</v>
      </c>
      <c r="D105" s="495">
        <v>41778</v>
      </c>
      <c r="E105" s="496">
        <v>150</v>
      </c>
      <c r="F105" s="495">
        <v>42118</v>
      </c>
      <c r="G105" s="496">
        <v>208</v>
      </c>
      <c r="H105" s="495">
        <v>42508</v>
      </c>
      <c r="I105" s="496">
        <v>284</v>
      </c>
      <c r="J105" s="495">
        <v>42873</v>
      </c>
      <c r="K105" s="497">
        <v>200.86</v>
      </c>
      <c r="L105" s="495">
        <v>43237</v>
      </c>
      <c r="M105" s="498">
        <v>185.81399999999999</v>
      </c>
      <c r="N105" s="495">
        <v>43602</v>
      </c>
      <c r="O105" s="498">
        <v>190.47800000000001</v>
      </c>
      <c r="P105" s="495">
        <v>43969</v>
      </c>
      <c r="Q105" s="498">
        <v>337.71600000000001</v>
      </c>
      <c r="R105" s="495">
        <v>44335</v>
      </c>
      <c r="S105" s="498">
        <v>230.12700000000001</v>
      </c>
      <c r="T105" s="495">
        <v>44699</v>
      </c>
      <c r="U105" s="498">
        <v>406.94200000000001</v>
      </c>
      <c r="V105" s="495">
        <v>45065</v>
      </c>
      <c r="W105" s="498">
        <v>402.8</v>
      </c>
    </row>
    <row r="106" spans="2:23">
      <c r="B106" s="495">
        <v>41414</v>
      </c>
      <c r="C106" s="496">
        <v>136</v>
      </c>
      <c r="D106" s="495">
        <v>41779</v>
      </c>
      <c r="E106" s="496">
        <v>158</v>
      </c>
      <c r="F106" s="495">
        <v>42121</v>
      </c>
      <c r="G106" s="496">
        <v>209</v>
      </c>
      <c r="H106" s="495">
        <v>42509</v>
      </c>
      <c r="I106" s="496">
        <v>302</v>
      </c>
      <c r="J106" s="495">
        <v>42874</v>
      </c>
      <c r="K106" s="497">
        <v>198.34100000000001</v>
      </c>
      <c r="L106" s="495">
        <v>43238</v>
      </c>
      <c r="M106" s="498">
        <v>192.721</v>
      </c>
      <c r="N106" s="495">
        <v>43605</v>
      </c>
      <c r="O106" s="498">
        <v>190.58799999999999</v>
      </c>
      <c r="P106" s="495">
        <v>43970</v>
      </c>
      <c r="Q106" s="498">
        <v>335.16399999999999</v>
      </c>
      <c r="R106" s="495">
        <v>44336</v>
      </c>
      <c r="S106" s="498">
        <v>240.298</v>
      </c>
      <c r="T106" s="495">
        <v>44700</v>
      </c>
      <c r="U106" s="498">
        <v>407.01799999999997</v>
      </c>
      <c r="V106" s="495">
        <v>45068</v>
      </c>
      <c r="W106" s="498">
        <v>402.87900000000002</v>
      </c>
    </row>
    <row r="107" spans="2:23">
      <c r="B107" s="495">
        <v>41415</v>
      </c>
      <c r="C107" s="496">
        <v>140</v>
      </c>
      <c r="D107" s="495">
        <v>41780</v>
      </c>
      <c r="E107" s="496">
        <v>153</v>
      </c>
      <c r="F107" s="495">
        <v>42122</v>
      </c>
      <c r="G107" s="496">
        <v>204</v>
      </c>
      <c r="H107" s="495">
        <v>42510</v>
      </c>
      <c r="I107" s="496">
        <v>305</v>
      </c>
      <c r="J107" s="495">
        <v>42877</v>
      </c>
      <c r="K107" s="497">
        <v>196.48699999999999</v>
      </c>
      <c r="L107" s="495">
        <v>43241</v>
      </c>
      <c r="M107" s="498">
        <v>193.798</v>
      </c>
      <c r="N107" s="495">
        <v>43606</v>
      </c>
      <c r="O107" s="498">
        <v>188.69399999999999</v>
      </c>
      <c r="P107" s="495">
        <v>43971</v>
      </c>
      <c r="Q107" s="498">
        <v>320.798</v>
      </c>
      <c r="R107" s="495">
        <v>44337</v>
      </c>
      <c r="S107" s="498">
        <v>241.071</v>
      </c>
      <c r="T107" s="495">
        <v>44701</v>
      </c>
      <c r="U107" s="498">
        <v>407.00099999999998</v>
      </c>
      <c r="V107" s="495">
        <v>45069</v>
      </c>
      <c r="W107" s="498">
        <v>406.25200000000001</v>
      </c>
    </row>
    <row r="108" spans="2:23">
      <c r="B108" s="495">
        <v>41416</v>
      </c>
      <c r="C108" s="496">
        <v>137</v>
      </c>
      <c r="D108" s="495">
        <v>41781</v>
      </c>
      <c r="E108" s="496">
        <v>153</v>
      </c>
      <c r="F108" s="495">
        <v>42123</v>
      </c>
      <c r="G108" s="496">
        <v>204</v>
      </c>
      <c r="H108" s="495">
        <v>42513</v>
      </c>
      <c r="I108" s="496">
        <v>307</v>
      </c>
      <c r="J108" s="495">
        <v>42878</v>
      </c>
      <c r="K108" s="497">
        <v>193.35</v>
      </c>
      <c r="L108" s="495">
        <v>43242</v>
      </c>
      <c r="M108" s="498">
        <v>188.73</v>
      </c>
      <c r="N108" s="495">
        <v>43607</v>
      </c>
      <c r="O108" s="498">
        <v>191.65799999999999</v>
      </c>
      <c r="P108" s="495">
        <v>43972</v>
      </c>
      <c r="Q108" s="498">
        <v>302.5</v>
      </c>
      <c r="R108" s="495">
        <v>44340</v>
      </c>
      <c r="S108" s="498">
        <v>244.58099999999999</v>
      </c>
      <c r="T108" s="495">
        <v>44704</v>
      </c>
      <c r="U108" s="498">
        <v>388.77</v>
      </c>
      <c r="V108" s="495">
        <v>45070</v>
      </c>
      <c r="W108" s="498">
        <v>405.959</v>
      </c>
    </row>
    <row r="109" spans="2:23">
      <c r="B109" s="495">
        <v>41417</v>
      </c>
      <c r="C109" s="496">
        <v>147</v>
      </c>
      <c r="D109" s="495">
        <v>41782</v>
      </c>
      <c r="E109" s="496">
        <v>154</v>
      </c>
      <c r="F109" s="495">
        <v>42124</v>
      </c>
      <c r="G109" s="496">
        <v>210</v>
      </c>
      <c r="H109" s="495">
        <v>42514</v>
      </c>
      <c r="I109" s="496">
        <v>305</v>
      </c>
      <c r="J109" s="495">
        <v>42879</v>
      </c>
      <c r="K109" s="497">
        <v>192.881</v>
      </c>
      <c r="L109" s="495">
        <v>43243</v>
      </c>
      <c r="M109" s="498">
        <v>189.202</v>
      </c>
      <c r="N109" s="495">
        <v>43608</v>
      </c>
      <c r="O109" s="498">
        <v>201.18199999999999</v>
      </c>
      <c r="P109" s="495">
        <v>43973</v>
      </c>
      <c r="Q109" s="498">
        <v>298.21199999999999</v>
      </c>
      <c r="R109" s="495">
        <v>44341</v>
      </c>
      <c r="S109" s="498">
        <v>254.18100000000001</v>
      </c>
      <c r="T109" s="495">
        <v>44705</v>
      </c>
      <c r="U109" s="498">
        <v>383.46300000000002</v>
      </c>
      <c r="V109" s="495">
        <v>45071</v>
      </c>
      <c r="W109" s="498">
        <v>401.14800000000002</v>
      </c>
    </row>
    <row r="110" spans="2:23">
      <c r="B110" s="495">
        <v>41418</v>
      </c>
      <c r="C110" s="496">
        <v>149</v>
      </c>
      <c r="D110" s="495">
        <v>41786</v>
      </c>
      <c r="E110" s="496">
        <v>153</v>
      </c>
      <c r="F110" s="495">
        <v>42125</v>
      </c>
      <c r="G110" s="496">
        <v>209</v>
      </c>
      <c r="H110" s="495">
        <v>42515</v>
      </c>
      <c r="I110" s="496">
        <v>299</v>
      </c>
      <c r="J110" s="495">
        <v>42880</v>
      </c>
      <c r="K110" s="497">
        <v>195.68100000000001</v>
      </c>
      <c r="L110" s="495">
        <v>43244</v>
      </c>
      <c r="M110" s="498">
        <v>189.13900000000001</v>
      </c>
      <c r="N110" s="495">
        <v>43609</v>
      </c>
      <c r="O110" s="498">
        <v>196.959</v>
      </c>
      <c r="P110" s="495">
        <v>43977</v>
      </c>
      <c r="Q110" s="498">
        <v>285.68900000000002</v>
      </c>
      <c r="R110" s="495">
        <v>44342</v>
      </c>
      <c r="S110" s="498">
        <v>251.858</v>
      </c>
      <c r="T110" s="495">
        <v>44706</v>
      </c>
      <c r="U110" s="498">
        <v>361.48099999999999</v>
      </c>
      <c r="V110" s="495">
        <v>45072</v>
      </c>
      <c r="W110" s="498">
        <v>402.54599999999999</v>
      </c>
    </row>
    <row r="111" spans="2:23">
      <c r="B111" s="495">
        <v>41422</v>
      </c>
      <c r="C111" s="496">
        <v>152</v>
      </c>
      <c r="D111" s="495">
        <v>41787</v>
      </c>
      <c r="E111" s="496">
        <v>151</v>
      </c>
      <c r="F111" s="495">
        <v>42128</v>
      </c>
      <c r="G111" s="496">
        <v>205</v>
      </c>
      <c r="H111" s="495">
        <v>42516</v>
      </c>
      <c r="I111" s="496">
        <v>299</v>
      </c>
      <c r="J111" s="495">
        <v>42881</v>
      </c>
      <c r="K111" s="497">
        <v>198.18700000000001</v>
      </c>
      <c r="L111" s="495">
        <v>43245</v>
      </c>
      <c r="M111" s="498">
        <v>191.87899999999999</v>
      </c>
      <c r="N111" s="495">
        <v>43613</v>
      </c>
      <c r="O111" s="498">
        <v>200.68100000000001</v>
      </c>
      <c r="P111" s="495">
        <v>43978</v>
      </c>
      <c r="Q111" s="498">
        <v>288.00900000000001</v>
      </c>
      <c r="R111" s="495">
        <v>44343</v>
      </c>
      <c r="S111" s="498">
        <v>250.44900000000001</v>
      </c>
      <c r="T111" s="495">
        <v>44707</v>
      </c>
      <c r="U111" s="498">
        <v>357.649</v>
      </c>
      <c r="V111" s="495">
        <v>45076</v>
      </c>
      <c r="W111" s="498">
        <v>400.62400000000002</v>
      </c>
    </row>
    <row r="112" spans="2:23">
      <c r="B112" s="495">
        <v>41423</v>
      </c>
      <c r="C112" s="496">
        <v>169</v>
      </c>
      <c r="D112" s="495">
        <v>41788</v>
      </c>
      <c r="E112" s="496">
        <v>142</v>
      </c>
      <c r="F112" s="495">
        <v>42129</v>
      </c>
      <c r="G112" s="496">
        <v>203</v>
      </c>
      <c r="H112" s="495">
        <v>42517</v>
      </c>
      <c r="I112" s="496">
        <v>296</v>
      </c>
      <c r="J112" s="495">
        <v>42885</v>
      </c>
      <c r="K112" s="497">
        <v>199.148</v>
      </c>
      <c r="L112" s="495">
        <v>43249</v>
      </c>
      <c r="M112" s="498">
        <v>204.953</v>
      </c>
      <c r="N112" s="495">
        <v>43614</v>
      </c>
      <c r="O112" s="498">
        <v>202.08500000000001</v>
      </c>
      <c r="P112" s="495">
        <v>43979</v>
      </c>
      <c r="Q112" s="498">
        <v>283.52499999999998</v>
      </c>
      <c r="R112" s="495">
        <v>44344</v>
      </c>
      <c r="S112" s="498">
        <v>247.642</v>
      </c>
      <c r="T112" s="495">
        <v>44708</v>
      </c>
      <c r="U112" s="498">
        <v>354.50299999999999</v>
      </c>
      <c r="V112" s="495">
        <v>45077</v>
      </c>
      <c r="W112" s="498">
        <v>406.065</v>
      </c>
    </row>
    <row r="113" spans="2:23">
      <c r="B113" s="495">
        <v>41424</v>
      </c>
      <c r="C113" s="496">
        <v>165</v>
      </c>
      <c r="D113" s="495">
        <v>41789</v>
      </c>
      <c r="E113" s="496">
        <v>143</v>
      </c>
      <c r="F113" s="495">
        <v>42130</v>
      </c>
      <c r="G113" s="496">
        <v>197</v>
      </c>
      <c r="H113" s="495">
        <v>42521</v>
      </c>
      <c r="I113" s="496">
        <v>299</v>
      </c>
      <c r="J113" s="495">
        <v>42886</v>
      </c>
      <c r="K113" s="497">
        <v>202.80799999999999</v>
      </c>
      <c r="L113" s="495">
        <v>43250</v>
      </c>
      <c r="M113" s="498">
        <v>200.745</v>
      </c>
      <c r="N113" s="495">
        <v>43615</v>
      </c>
      <c r="O113" s="498">
        <v>204.75299999999999</v>
      </c>
      <c r="P113" s="495">
        <v>43980</v>
      </c>
      <c r="Q113" s="498">
        <v>288.48399999999998</v>
      </c>
      <c r="R113" s="495">
        <v>44348</v>
      </c>
      <c r="S113" s="498">
        <v>246.03100000000001</v>
      </c>
      <c r="T113" s="495">
        <v>44712</v>
      </c>
      <c r="U113" s="498">
        <v>336.97699999999998</v>
      </c>
      <c r="V113" s="495">
        <v>45078</v>
      </c>
      <c r="W113" s="498">
        <v>407.66800000000001</v>
      </c>
    </row>
    <row r="114" spans="2:23">
      <c r="B114" s="495">
        <v>41425</v>
      </c>
      <c r="C114" s="496">
        <v>169</v>
      </c>
      <c r="D114" s="495">
        <v>41792</v>
      </c>
      <c r="E114" s="496">
        <v>141</v>
      </c>
      <c r="F114" s="495">
        <v>42131</v>
      </c>
      <c r="G114" s="496">
        <v>206</v>
      </c>
      <c r="H114" s="495">
        <v>42522</v>
      </c>
      <c r="I114" s="496">
        <v>295</v>
      </c>
      <c r="J114" s="495">
        <v>42887</v>
      </c>
      <c r="K114" s="497">
        <v>201.44800000000001</v>
      </c>
      <c r="L114" s="495">
        <v>43251</v>
      </c>
      <c r="M114" s="498">
        <v>205.001</v>
      </c>
      <c r="N114" s="495">
        <v>43616</v>
      </c>
      <c r="O114" s="498">
        <v>211.77799999999999</v>
      </c>
      <c r="P114" s="495">
        <v>43983</v>
      </c>
      <c r="Q114" s="498">
        <v>287.49400000000003</v>
      </c>
      <c r="R114" s="495">
        <v>44349</v>
      </c>
      <c r="S114" s="498">
        <v>245.18299999999999</v>
      </c>
      <c r="T114" s="495">
        <v>44713</v>
      </c>
      <c r="U114" s="498">
        <v>334.09100000000001</v>
      </c>
      <c r="V114" s="495">
        <v>45079</v>
      </c>
      <c r="W114" s="498">
        <v>392.11799999999999</v>
      </c>
    </row>
    <row r="115" spans="2:23">
      <c r="B115" s="495">
        <v>41428</v>
      </c>
      <c r="C115" s="496">
        <v>172</v>
      </c>
      <c r="D115" s="495">
        <v>41793</v>
      </c>
      <c r="E115" s="496">
        <v>140</v>
      </c>
      <c r="F115" s="495">
        <v>42132</v>
      </c>
      <c r="G115" s="496">
        <v>202</v>
      </c>
      <c r="H115" s="495">
        <v>42523</v>
      </c>
      <c r="I115" s="496">
        <v>290</v>
      </c>
      <c r="J115" s="495">
        <v>42888</v>
      </c>
      <c r="K115" s="497">
        <v>201.398</v>
      </c>
      <c r="L115" s="495">
        <v>43252</v>
      </c>
      <c r="M115" s="498">
        <v>199.26599999999999</v>
      </c>
      <c r="N115" s="495">
        <v>43619</v>
      </c>
      <c r="O115" s="498">
        <v>213.73099999999999</v>
      </c>
      <c r="P115" s="495">
        <v>43984</v>
      </c>
      <c r="Q115" s="498">
        <v>277.27999999999997</v>
      </c>
      <c r="R115" s="495">
        <v>44350</v>
      </c>
      <c r="S115" s="498">
        <v>244.767</v>
      </c>
      <c r="T115" s="495">
        <v>44714</v>
      </c>
      <c r="U115" s="498">
        <v>334.81599999999997</v>
      </c>
      <c r="V115" s="495">
        <v>45082</v>
      </c>
      <c r="W115" s="498">
        <v>379.71</v>
      </c>
    </row>
    <row r="116" spans="2:23">
      <c r="B116" s="495">
        <v>41429</v>
      </c>
      <c r="C116" s="496">
        <v>167</v>
      </c>
      <c r="D116" s="495">
        <v>41794</v>
      </c>
      <c r="E116" s="496">
        <v>141</v>
      </c>
      <c r="F116" s="495">
        <v>42135</v>
      </c>
      <c r="G116" s="496">
        <v>198</v>
      </c>
      <c r="H116" s="495">
        <v>42524</v>
      </c>
      <c r="I116" s="496">
        <v>288</v>
      </c>
      <c r="J116" s="495">
        <v>42891</v>
      </c>
      <c r="K116" s="497">
        <v>195.36600000000001</v>
      </c>
      <c r="L116" s="495">
        <v>43255</v>
      </c>
      <c r="M116" s="498">
        <v>192.392</v>
      </c>
      <c r="N116" s="495">
        <v>43620</v>
      </c>
      <c r="O116" s="498">
        <v>202.96</v>
      </c>
      <c r="P116" s="495">
        <v>43985</v>
      </c>
      <c r="Q116" s="498">
        <v>265.80900000000003</v>
      </c>
      <c r="R116" s="495">
        <v>44351</v>
      </c>
      <c r="S116" s="498">
        <v>243.27199999999999</v>
      </c>
      <c r="T116" s="495">
        <v>44715</v>
      </c>
      <c r="U116" s="498">
        <v>334.55900000000003</v>
      </c>
      <c r="V116" s="495">
        <v>45083</v>
      </c>
      <c r="W116" s="498">
        <v>367.76799999999997</v>
      </c>
    </row>
    <row r="117" spans="2:23">
      <c r="B117" s="495">
        <v>41430</v>
      </c>
      <c r="C117" s="496">
        <v>172</v>
      </c>
      <c r="D117" s="495">
        <v>41795</v>
      </c>
      <c r="E117" s="496">
        <v>139</v>
      </c>
      <c r="F117" s="495">
        <v>42136</v>
      </c>
      <c r="G117" s="496">
        <v>206</v>
      </c>
      <c r="H117" s="495">
        <v>42527</v>
      </c>
      <c r="I117" s="496">
        <v>281</v>
      </c>
      <c r="J117" s="495">
        <v>42892</v>
      </c>
      <c r="K117" s="497">
        <v>194.27199999999999</v>
      </c>
      <c r="L117" s="495">
        <v>43256</v>
      </c>
      <c r="M117" s="498">
        <v>194.267</v>
      </c>
      <c r="N117" s="495">
        <v>43621</v>
      </c>
      <c r="O117" s="498">
        <v>198.346</v>
      </c>
      <c r="P117" s="495">
        <v>43986</v>
      </c>
      <c r="Q117" s="498">
        <v>270.21300000000002</v>
      </c>
      <c r="R117" s="495">
        <v>44354</v>
      </c>
      <c r="S117" s="498">
        <v>239.40100000000001</v>
      </c>
      <c r="T117" s="495">
        <v>44718</v>
      </c>
      <c r="U117" s="498">
        <v>336.43700000000001</v>
      </c>
      <c r="V117" s="495">
        <v>45084</v>
      </c>
      <c r="W117" s="498">
        <v>364.20800000000003</v>
      </c>
    </row>
    <row r="118" spans="2:23">
      <c r="B118" s="495">
        <v>41431</v>
      </c>
      <c r="C118" s="496">
        <v>176</v>
      </c>
      <c r="D118" s="495">
        <v>41796</v>
      </c>
      <c r="E118" s="496">
        <v>130</v>
      </c>
      <c r="F118" s="495">
        <v>42137</v>
      </c>
      <c r="G118" s="496">
        <v>203</v>
      </c>
      <c r="H118" s="495">
        <v>42528</v>
      </c>
      <c r="I118" s="496">
        <v>273</v>
      </c>
      <c r="J118" s="495">
        <v>42893</v>
      </c>
      <c r="K118" s="497">
        <v>188.11799999999999</v>
      </c>
      <c r="L118" s="495">
        <v>43257</v>
      </c>
      <c r="M118" s="498">
        <v>192.65</v>
      </c>
      <c r="N118" s="495">
        <v>43622</v>
      </c>
      <c r="O118" s="498">
        <v>196.572</v>
      </c>
      <c r="P118" s="495">
        <v>43987</v>
      </c>
      <c r="Q118" s="498">
        <v>265.988</v>
      </c>
      <c r="R118" s="495">
        <v>44355</v>
      </c>
      <c r="S118" s="498">
        <v>237.642</v>
      </c>
      <c r="T118" s="495">
        <v>44719</v>
      </c>
      <c r="U118" s="498">
        <v>345.80399999999997</v>
      </c>
      <c r="V118" s="495">
        <v>45085</v>
      </c>
      <c r="W118" s="498">
        <v>367.77</v>
      </c>
    </row>
    <row r="119" spans="2:23">
      <c r="B119" s="495">
        <v>41432</v>
      </c>
      <c r="C119" s="496">
        <v>166</v>
      </c>
      <c r="D119" s="495">
        <v>41799</v>
      </c>
      <c r="E119" s="496">
        <v>129</v>
      </c>
      <c r="F119" s="495">
        <v>42138</v>
      </c>
      <c r="G119" s="496">
        <v>206</v>
      </c>
      <c r="H119" s="495">
        <v>42529</v>
      </c>
      <c r="I119" s="496">
        <v>269</v>
      </c>
      <c r="J119" s="495">
        <v>42894</v>
      </c>
      <c r="K119" s="497">
        <v>190.27500000000001</v>
      </c>
      <c r="L119" s="495">
        <v>43258</v>
      </c>
      <c r="M119" s="498">
        <v>202.434</v>
      </c>
      <c r="N119" s="495">
        <v>43623</v>
      </c>
      <c r="O119" s="498">
        <v>196.64</v>
      </c>
      <c r="P119" s="495">
        <v>43990</v>
      </c>
      <c r="Q119" s="498">
        <v>263.62099999999998</v>
      </c>
      <c r="R119" s="495">
        <v>44356</v>
      </c>
      <c r="S119" s="498">
        <v>234.82599999999999</v>
      </c>
      <c r="T119" s="495">
        <v>44720</v>
      </c>
      <c r="U119" s="498">
        <v>349.49</v>
      </c>
      <c r="V119" s="495">
        <v>45086</v>
      </c>
      <c r="W119" s="498">
        <v>363.25799999999998</v>
      </c>
    </row>
    <row r="120" spans="2:23">
      <c r="B120" s="495">
        <v>41435</v>
      </c>
      <c r="C120" s="496">
        <v>172</v>
      </c>
      <c r="D120" s="495">
        <v>41800</v>
      </c>
      <c r="E120" s="496">
        <v>132</v>
      </c>
      <c r="F120" s="495">
        <v>42139</v>
      </c>
      <c r="G120" s="496">
        <v>209</v>
      </c>
      <c r="H120" s="495">
        <v>42530</v>
      </c>
      <c r="I120" s="496">
        <v>275</v>
      </c>
      <c r="J120" s="495">
        <v>42895</v>
      </c>
      <c r="K120" s="497">
        <v>187.11199999999999</v>
      </c>
      <c r="L120" s="495">
        <v>43259</v>
      </c>
      <c r="M120" s="498">
        <v>203.596</v>
      </c>
      <c r="N120" s="495">
        <v>43626</v>
      </c>
      <c r="O120" s="498">
        <v>190.982</v>
      </c>
      <c r="P120" s="495">
        <v>43991</v>
      </c>
      <c r="Q120" s="498">
        <v>267.767</v>
      </c>
      <c r="R120" s="495">
        <v>44357</v>
      </c>
      <c r="S120" s="498">
        <v>235.238</v>
      </c>
      <c r="T120" s="495">
        <v>44721</v>
      </c>
      <c r="U120" s="498">
        <v>378.61500000000001</v>
      </c>
      <c r="V120" s="495">
        <v>45089</v>
      </c>
      <c r="W120" s="498">
        <v>360.68099999999998</v>
      </c>
    </row>
    <row r="121" spans="2:23">
      <c r="B121" s="495">
        <v>41436</v>
      </c>
      <c r="C121" s="496">
        <v>189</v>
      </c>
      <c r="D121" s="495">
        <v>41801</v>
      </c>
      <c r="E121" s="496">
        <v>142</v>
      </c>
      <c r="F121" s="495">
        <v>42142</v>
      </c>
      <c r="G121" s="496">
        <v>203</v>
      </c>
      <c r="H121" s="495">
        <v>42531</v>
      </c>
      <c r="I121" s="496">
        <v>285</v>
      </c>
      <c r="J121" s="495">
        <v>42898</v>
      </c>
      <c r="K121" s="497">
        <v>184.661</v>
      </c>
      <c r="L121" s="495">
        <v>43262</v>
      </c>
      <c r="M121" s="498">
        <v>205.3</v>
      </c>
      <c r="N121" s="495">
        <v>43627</v>
      </c>
      <c r="O121" s="498">
        <v>186.58199999999999</v>
      </c>
      <c r="P121" s="495">
        <v>43992</v>
      </c>
      <c r="Q121" s="498">
        <v>276.40499999999997</v>
      </c>
      <c r="R121" s="495">
        <v>44358</v>
      </c>
      <c r="S121" s="498">
        <v>233.52500000000001</v>
      </c>
      <c r="T121" s="495">
        <v>44722</v>
      </c>
      <c r="U121" s="498">
        <v>381.673</v>
      </c>
      <c r="V121" s="495">
        <v>45090</v>
      </c>
      <c r="W121" s="498">
        <v>349.08800000000002</v>
      </c>
    </row>
    <row r="122" spans="2:23">
      <c r="B122" s="495">
        <v>41437</v>
      </c>
      <c r="C122" s="496">
        <v>176</v>
      </c>
      <c r="D122" s="495">
        <v>41802</v>
      </c>
      <c r="E122" s="496">
        <v>146</v>
      </c>
      <c r="F122" s="495">
        <v>42143</v>
      </c>
      <c r="G122" s="496">
        <v>206</v>
      </c>
      <c r="H122" s="495">
        <v>42534</v>
      </c>
      <c r="I122" s="496">
        <v>293</v>
      </c>
      <c r="J122" s="495">
        <v>42899</v>
      </c>
      <c r="K122" s="497">
        <v>182.7</v>
      </c>
      <c r="L122" s="495">
        <v>43263</v>
      </c>
      <c r="M122" s="498">
        <v>204.321</v>
      </c>
      <c r="N122" s="495">
        <v>43628</v>
      </c>
      <c r="O122" s="498">
        <v>187.71199999999999</v>
      </c>
      <c r="P122" s="495">
        <v>43993</v>
      </c>
      <c r="Q122" s="498">
        <v>301.07400000000001</v>
      </c>
      <c r="R122" s="495">
        <v>44361</v>
      </c>
      <c r="S122" s="498">
        <v>236.964</v>
      </c>
      <c r="T122" s="495">
        <v>44725</v>
      </c>
      <c r="U122" s="498">
        <v>396.28300000000002</v>
      </c>
      <c r="V122" s="495">
        <v>45091</v>
      </c>
      <c r="W122" s="498">
        <v>347.99200000000002</v>
      </c>
    </row>
    <row r="123" spans="2:23">
      <c r="B123" s="495">
        <v>41438</v>
      </c>
      <c r="C123" s="496">
        <v>162</v>
      </c>
      <c r="D123" s="495">
        <v>41803</v>
      </c>
      <c r="E123" s="496">
        <v>142</v>
      </c>
      <c r="F123" s="495">
        <v>42144</v>
      </c>
      <c r="G123" s="496">
        <v>205</v>
      </c>
      <c r="H123" s="495">
        <v>42535</v>
      </c>
      <c r="I123" s="496">
        <v>303</v>
      </c>
      <c r="J123" s="495">
        <v>42900</v>
      </c>
      <c r="K123" s="497">
        <v>186.262</v>
      </c>
      <c r="L123" s="495">
        <v>43264</v>
      </c>
      <c r="M123" s="498">
        <v>200.685</v>
      </c>
      <c r="N123" s="495">
        <v>43629</v>
      </c>
      <c r="O123" s="498">
        <v>192.86500000000001</v>
      </c>
      <c r="P123" s="495">
        <v>43994</v>
      </c>
      <c r="Q123" s="498">
        <v>297.05900000000003</v>
      </c>
      <c r="R123" s="495">
        <v>44362</v>
      </c>
      <c r="S123" s="498">
        <v>240.292</v>
      </c>
      <c r="T123" s="495">
        <v>44726</v>
      </c>
      <c r="U123" s="498">
        <v>398.322</v>
      </c>
      <c r="V123" s="495">
        <v>45092</v>
      </c>
      <c r="W123" s="498">
        <v>358.69799999999998</v>
      </c>
    </row>
    <row r="124" spans="2:23">
      <c r="B124" s="495">
        <v>41439</v>
      </c>
      <c r="C124" s="496">
        <v>167</v>
      </c>
      <c r="D124" s="495">
        <v>41806</v>
      </c>
      <c r="E124" s="496">
        <v>145</v>
      </c>
      <c r="F124" s="495">
        <v>42145</v>
      </c>
      <c r="G124" s="496">
        <v>204</v>
      </c>
      <c r="H124" s="495">
        <v>42536</v>
      </c>
      <c r="I124" s="496">
        <v>300</v>
      </c>
      <c r="J124" s="495">
        <v>42901</v>
      </c>
      <c r="K124" s="497">
        <v>191.26900000000001</v>
      </c>
      <c r="L124" s="495">
        <v>43265</v>
      </c>
      <c r="M124" s="498">
        <v>201.727</v>
      </c>
      <c r="N124" s="495">
        <v>43630</v>
      </c>
      <c r="O124" s="498">
        <v>191.44800000000001</v>
      </c>
      <c r="P124" s="495">
        <v>43997</v>
      </c>
      <c r="Q124" s="498">
        <v>296.79899999999998</v>
      </c>
      <c r="R124" s="495">
        <v>44363</v>
      </c>
      <c r="S124" s="498">
        <v>239.73099999999999</v>
      </c>
      <c r="T124" s="495">
        <v>44727</v>
      </c>
      <c r="U124" s="498">
        <v>380.46199999999999</v>
      </c>
      <c r="V124" s="495">
        <v>45093</v>
      </c>
      <c r="W124" s="498">
        <v>355.90899999999999</v>
      </c>
    </row>
    <row r="125" spans="2:23">
      <c r="B125" s="495">
        <v>41442</v>
      </c>
      <c r="C125" s="496">
        <v>164</v>
      </c>
      <c r="D125" s="495">
        <v>41807</v>
      </c>
      <c r="E125" s="496">
        <v>144</v>
      </c>
      <c r="F125" s="495">
        <v>42146</v>
      </c>
      <c r="G125" s="496">
        <v>204</v>
      </c>
      <c r="H125" s="495">
        <v>42537</v>
      </c>
      <c r="I125" s="496">
        <v>304</v>
      </c>
      <c r="J125" s="495">
        <v>42902</v>
      </c>
      <c r="K125" s="497">
        <v>194.86</v>
      </c>
      <c r="L125" s="495">
        <v>43266</v>
      </c>
      <c r="M125" s="498">
        <v>199.166</v>
      </c>
      <c r="N125" s="495">
        <v>43633</v>
      </c>
      <c r="O125" s="498">
        <v>192.61099999999999</v>
      </c>
      <c r="P125" s="495">
        <v>43998</v>
      </c>
      <c r="Q125" s="498">
        <v>279.91300000000001</v>
      </c>
      <c r="R125" s="495">
        <v>44364</v>
      </c>
      <c r="S125" s="498">
        <v>242.77600000000001</v>
      </c>
      <c r="T125" s="495">
        <v>44728</v>
      </c>
      <c r="U125" s="498">
        <v>386.64699999999999</v>
      </c>
      <c r="V125" s="495">
        <v>45097</v>
      </c>
      <c r="W125" s="498">
        <v>362.40600000000001</v>
      </c>
    </row>
    <row r="126" spans="2:23">
      <c r="B126" s="495">
        <v>41443</v>
      </c>
      <c r="C126" s="496">
        <v>172</v>
      </c>
      <c r="D126" s="495">
        <v>41808</v>
      </c>
      <c r="E126" s="496">
        <v>144</v>
      </c>
      <c r="F126" s="495">
        <v>42150</v>
      </c>
      <c r="G126" s="496">
        <v>210</v>
      </c>
      <c r="H126" s="495">
        <v>42538</v>
      </c>
      <c r="I126" s="496">
        <v>298</v>
      </c>
      <c r="J126" s="495">
        <v>42905</v>
      </c>
      <c r="K126" s="497">
        <v>197.37</v>
      </c>
      <c r="L126" s="495">
        <v>43269</v>
      </c>
      <c r="M126" s="498">
        <v>202.47900000000001</v>
      </c>
      <c r="N126" s="495">
        <v>43634</v>
      </c>
      <c r="O126" s="498">
        <v>187.62700000000001</v>
      </c>
      <c r="P126" s="495">
        <v>43999</v>
      </c>
      <c r="Q126" s="498">
        <v>292.75099999999998</v>
      </c>
      <c r="R126" s="495">
        <v>44365</v>
      </c>
      <c r="S126" s="498">
        <v>252.285</v>
      </c>
      <c r="T126" s="495">
        <v>44729</v>
      </c>
      <c r="U126" s="498">
        <v>386.60300000000001</v>
      </c>
      <c r="V126" s="495">
        <v>45098</v>
      </c>
      <c r="W126" s="498">
        <v>365.02300000000002</v>
      </c>
    </row>
    <row r="127" spans="2:23">
      <c r="B127" s="495">
        <v>41444</v>
      </c>
      <c r="C127" s="496">
        <v>180</v>
      </c>
      <c r="D127" s="495">
        <v>41809</v>
      </c>
      <c r="E127" s="496">
        <v>144</v>
      </c>
      <c r="F127" s="495">
        <v>42151</v>
      </c>
      <c r="G127" s="496">
        <v>213</v>
      </c>
      <c r="H127" s="495">
        <v>42541</v>
      </c>
      <c r="I127" s="496">
        <v>284</v>
      </c>
      <c r="J127" s="495">
        <v>42906</v>
      </c>
      <c r="K127" s="497">
        <v>206.91800000000001</v>
      </c>
      <c r="L127" s="495">
        <v>43270</v>
      </c>
      <c r="M127" s="498">
        <v>206.25899999999999</v>
      </c>
      <c r="N127" s="495">
        <v>43635</v>
      </c>
      <c r="O127" s="498">
        <v>186.95599999999999</v>
      </c>
      <c r="P127" s="495">
        <v>44000</v>
      </c>
      <c r="Q127" s="498">
        <v>295.76299999999998</v>
      </c>
      <c r="R127" s="495">
        <v>44368</v>
      </c>
      <c r="S127" s="498">
        <v>250.20699999999999</v>
      </c>
      <c r="T127" s="495">
        <v>44733</v>
      </c>
      <c r="U127" s="498">
        <v>396.59800000000001</v>
      </c>
      <c r="V127" s="495">
        <v>45099</v>
      </c>
      <c r="W127" s="498">
        <v>360.73200000000003</v>
      </c>
    </row>
    <row r="128" spans="2:23">
      <c r="B128" s="495">
        <v>41445</v>
      </c>
      <c r="C128" s="496">
        <v>195</v>
      </c>
      <c r="D128" s="495">
        <v>41810</v>
      </c>
      <c r="E128" s="496">
        <v>145</v>
      </c>
      <c r="F128" s="495">
        <v>42152</v>
      </c>
      <c r="G128" s="496">
        <v>216</v>
      </c>
      <c r="H128" s="495">
        <v>42542</v>
      </c>
      <c r="I128" s="496">
        <v>280</v>
      </c>
      <c r="J128" s="495">
        <v>42907</v>
      </c>
      <c r="K128" s="497">
        <v>209.48400000000001</v>
      </c>
      <c r="L128" s="495">
        <v>43271</v>
      </c>
      <c r="M128" s="498">
        <v>201.03200000000001</v>
      </c>
      <c r="N128" s="495">
        <v>43636</v>
      </c>
      <c r="O128" s="498">
        <v>179.001</v>
      </c>
      <c r="P128" s="495">
        <v>44001</v>
      </c>
      <c r="Q128" s="498">
        <v>292.52600000000001</v>
      </c>
      <c r="R128" s="495">
        <v>44369</v>
      </c>
      <c r="S128" s="498">
        <v>253.15199999999999</v>
      </c>
      <c r="T128" s="495">
        <v>44734</v>
      </c>
      <c r="U128" s="498">
        <v>413.00799999999998</v>
      </c>
      <c r="V128" s="495">
        <v>45100</v>
      </c>
      <c r="W128" s="498">
        <v>365.4</v>
      </c>
    </row>
    <row r="129" spans="2:23">
      <c r="B129" s="495">
        <v>41446</v>
      </c>
      <c r="C129" s="496">
        <v>197</v>
      </c>
      <c r="D129" s="495">
        <v>41813</v>
      </c>
      <c r="E129" s="496">
        <v>143</v>
      </c>
      <c r="F129" s="495">
        <v>42153</v>
      </c>
      <c r="G129" s="496">
        <v>218</v>
      </c>
      <c r="H129" s="495">
        <v>42543</v>
      </c>
      <c r="I129" s="496">
        <v>276</v>
      </c>
      <c r="J129" s="495">
        <v>42908</v>
      </c>
      <c r="K129" s="497">
        <v>206.62799999999999</v>
      </c>
      <c r="L129" s="495">
        <v>43272</v>
      </c>
      <c r="M129" s="497">
        <v>198.86699999999999</v>
      </c>
      <c r="N129" s="495">
        <v>43637</v>
      </c>
      <c r="O129" s="498">
        <v>174.203</v>
      </c>
      <c r="P129" s="495">
        <v>44004</v>
      </c>
      <c r="Q129" s="498">
        <v>295.81599999999997</v>
      </c>
      <c r="R129" s="495">
        <v>44370</v>
      </c>
      <c r="S129" s="498">
        <v>251.44399999999999</v>
      </c>
      <c r="T129" s="495">
        <v>44735</v>
      </c>
      <c r="U129" s="498">
        <v>419.31599999999997</v>
      </c>
      <c r="V129" s="495">
        <v>45103</v>
      </c>
      <c r="W129" s="498">
        <v>367.053</v>
      </c>
    </row>
    <row r="130" spans="2:23">
      <c r="B130" s="495">
        <v>41449</v>
      </c>
      <c r="C130" s="496">
        <v>209</v>
      </c>
      <c r="D130" s="495">
        <v>41814</v>
      </c>
      <c r="E130" s="496">
        <v>142</v>
      </c>
      <c r="F130" s="495">
        <v>42156</v>
      </c>
      <c r="G130" s="496">
        <v>215</v>
      </c>
      <c r="H130" s="495">
        <v>42544</v>
      </c>
      <c r="I130" s="496">
        <v>266</v>
      </c>
      <c r="J130" s="495">
        <v>42909</v>
      </c>
      <c r="K130" s="497">
        <v>201.804</v>
      </c>
      <c r="L130" s="495">
        <v>43273</v>
      </c>
      <c r="M130" s="497">
        <v>194.78800000000001</v>
      </c>
      <c r="N130" s="495">
        <v>43640</v>
      </c>
      <c r="O130" s="498">
        <v>179.19800000000001</v>
      </c>
      <c r="P130" s="495">
        <v>44005</v>
      </c>
      <c r="Q130" s="498">
        <v>294.565</v>
      </c>
      <c r="R130" s="495">
        <v>44371</v>
      </c>
      <c r="S130" s="498">
        <v>249.857</v>
      </c>
      <c r="T130" s="495">
        <v>44736</v>
      </c>
      <c r="U130" s="498">
        <v>419.101</v>
      </c>
      <c r="V130" s="495">
        <v>45104</v>
      </c>
      <c r="W130" s="498">
        <v>364.19499999999999</v>
      </c>
    </row>
    <row r="131" spans="2:23">
      <c r="B131" s="495">
        <v>41450</v>
      </c>
      <c r="C131" s="496">
        <v>206</v>
      </c>
      <c r="D131" s="495">
        <v>41815</v>
      </c>
      <c r="E131" s="496">
        <v>139</v>
      </c>
      <c r="F131" s="495">
        <v>42157</v>
      </c>
      <c r="G131" s="496">
        <v>210</v>
      </c>
      <c r="H131" s="495">
        <v>42545</v>
      </c>
      <c r="I131" s="496">
        <v>282</v>
      </c>
      <c r="J131" s="495">
        <v>42912</v>
      </c>
      <c r="K131" s="497">
        <v>200.56</v>
      </c>
      <c r="L131" s="495">
        <v>43276</v>
      </c>
      <c r="M131" s="497">
        <v>198.452</v>
      </c>
      <c r="N131" s="495">
        <v>43641</v>
      </c>
      <c r="O131" s="498">
        <v>184.542</v>
      </c>
      <c r="P131" s="495">
        <v>44006</v>
      </c>
      <c r="Q131" s="498">
        <v>299.33499999999998</v>
      </c>
      <c r="R131" s="495">
        <v>44372</v>
      </c>
      <c r="S131" s="498">
        <v>244.05</v>
      </c>
      <c r="T131" s="495">
        <v>44739</v>
      </c>
      <c r="U131" s="498">
        <v>422.28699999999998</v>
      </c>
      <c r="V131" s="495">
        <v>45105</v>
      </c>
      <c r="W131" s="498">
        <v>373.17700000000002</v>
      </c>
    </row>
    <row r="132" spans="2:23">
      <c r="B132" s="495">
        <v>41451</v>
      </c>
      <c r="C132" s="496">
        <v>204</v>
      </c>
      <c r="D132" s="495">
        <v>41816</v>
      </c>
      <c r="E132" s="496">
        <v>138</v>
      </c>
      <c r="F132" s="495">
        <v>42158</v>
      </c>
      <c r="G132" s="496">
        <v>209</v>
      </c>
      <c r="H132" s="495">
        <v>42548</v>
      </c>
      <c r="I132" s="496">
        <v>293</v>
      </c>
      <c r="J132" s="495">
        <v>42913</v>
      </c>
      <c r="K132" s="497">
        <v>200.346</v>
      </c>
      <c r="L132" s="495">
        <v>43277</v>
      </c>
      <c r="M132" s="497">
        <v>198.21100000000001</v>
      </c>
      <c r="N132" s="495">
        <v>43642</v>
      </c>
      <c r="O132" s="498">
        <v>184.42</v>
      </c>
      <c r="P132" s="495">
        <v>44007</v>
      </c>
      <c r="Q132" s="498">
        <v>298.596</v>
      </c>
      <c r="R132" s="495">
        <v>44375</v>
      </c>
      <c r="S132" s="498">
        <v>244.411</v>
      </c>
      <c r="T132" s="495">
        <v>44740</v>
      </c>
      <c r="U132" s="498">
        <v>446.88400000000001</v>
      </c>
      <c r="V132" s="495">
        <v>45106</v>
      </c>
      <c r="W132" s="498">
        <v>370.01799999999997</v>
      </c>
    </row>
    <row r="133" spans="2:23">
      <c r="B133" s="495">
        <v>41452</v>
      </c>
      <c r="C133" s="496">
        <v>201</v>
      </c>
      <c r="D133" s="495">
        <v>41817</v>
      </c>
      <c r="E133" s="496">
        <v>139</v>
      </c>
      <c r="F133" s="495">
        <v>42159</v>
      </c>
      <c r="G133" s="496">
        <v>220</v>
      </c>
      <c r="H133" s="495">
        <v>42549</v>
      </c>
      <c r="I133" s="496">
        <v>284</v>
      </c>
      <c r="J133" s="495">
        <v>42914</v>
      </c>
      <c r="K133" s="497">
        <v>199.05199999999999</v>
      </c>
      <c r="L133" s="495">
        <v>43278</v>
      </c>
      <c r="M133" s="497">
        <v>203.32300000000001</v>
      </c>
      <c r="N133" s="495">
        <v>43643</v>
      </c>
      <c r="O133" s="498">
        <v>183.32599999999999</v>
      </c>
      <c r="P133" s="495">
        <v>44008</v>
      </c>
      <c r="Q133" s="498">
        <v>304.08300000000003</v>
      </c>
      <c r="R133" s="495">
        <v>44376</v>
      </c>
      <c r="S133" s="498">
        <v>245.292</v>
      </c>
      <c r="T133" s="495">
        <v>44741</v>
      </c>
      <c r="U133" s="498">
        <v>457.94499999999999</v>
      </c>
      <c r="V133" s="495">
        <v>45110</v>
      </c>
      <c r="W133" s="498">
        <v>361.44799999999998</v>
      </c>
    </row>
    <row r="134" spans="2:23">
      <c r="B134" s="495">
        <v>41453</v>
      </c>
      <c r="C134" s="496">
        <v>195</v>
      </c>
      <c r="D134" s="495">
        <v>41820</v>
      </c>
      <c r="E134" s="496">
        <v>144</v>
      </c>
      <c r="F134" s="495">
        <v>42160</v>
      </c>
      <c r="G134" s="496">
        <v>217</v>
      </c>
      <c r="H134" s="495">
        <v>42550</v>
      </c>
      <c r="I134" s="496">
        <v>266</v>
      </c>
      <c r="J134" s="495">
        <v>42915</v>
      </c>
      <c r="K134" s="497">
        <v>201.61799999999999</v>
      </c>
      <c r="L134" s="495">
        <v>43279</v>
      </c>
      <c r="M134" s="497">
        <v>199.613</v>
      </c>
      <c r="N134" s="495">
        <v>43644</v>
      </c>
      <c r="O134" s="498">
        <v>181.49600000000001</v>
      </c>
      <c r="P134" s="495">
        <v>44011</v>
      </c>
      <c r="Q134" s="498">
        <v>304.38799999999998</v>
      </c>
      <c r="R134" s="495">
        <v>44377</v>
      </c>
      <c r="S134" s="498">
        <v>247.048</v>
      </c>
      <c r="T134" s="495">
        <v>44742</v>
      </c>
      <c r="U134" s="498">
        <v>446.20299999999997</v>
      </c>
      <c r="V134" s="495">
        <v>45112</v>
      </c>
      <c r="W134" s="498">
        <v>356.80500000000001</v>
      </c>
    </row>
    <row r="135" spans="2:23">
      <c r="B135" s="495">
        <v>41456</v>
      </c>
      <c r="C135" s="496">
        <v>185</v>
      </c>
      <c r="D135" s="495">
        <v>41821</v>
      </c>
      <c r="E135" s="496">
        <v>141</v>
      </c>
      <c r="F135" s="495">
        <v>42163</v>
      </c>
      <c r="G135" s="496">
        <v>222</v>
      </c>
      <c r="H135" s="495">
        <v>42551</v>
      </c>
      <c r="I135" s="496">
        <v>261</v>
      </c>
      <c r="J135" s="495">
        <v>42916</v>
      </c>
      <c r="K135" s="497">
        <v>199.90899999999999</v>
      </c>
      <c r="L135" s="495">
        <v>43280</v>
      </c>
      <c r="M135" s="497">
        <v>196.87299999999999</v>
      </c>
      <c r="N135" s="495">
        <v>43647</v>
      </c>
      <c r="O135" s="498">
        <v>174.27</v>
      </c>
      <c r="P135" s="495">
        <v>44012</v>
      </c>
      <c r="Q135" s="498">
        <v>292.90499999999997</v>
      </c>
      <c r="R135" s="495">
        <v>44378</v>
      </c>
      <c r="S135" s="498">
        <v>249.018</v>
      </c>
      <c r="T135" s="495">
        <v>44743</v>
      </c>
      <c r="U135" s="498">
        <v>440.80200000000002</v>
      </c>
      <c r="V135" s="495">
        <v>45113</v>
      </c>
      <c r="W135" s="498">
        <v>362.702</v>
      </c>
    </row>
    <row r="136" spans="2:23">
      <c r="B136" s="495">
        <v>41457</v>
      </c>
      <c r="C136" s="496">
        <v>180</v>
      </c>
      <c r="D136" s="495">
        <v>41822</v>
      </c>
      <c r="E136" s="496">
        <v>140</v>
      </c>
      <c r="F136" s="495">
        <v>42164</v>
      </c>
      <c r="G136" s="496">
        <v>225</v>
      </c>
      <c r="H136" s="495">
        <v>42552</v>
      </c>
      <c r="I136" s="496">
        <v>259</v>
      </c>
      <c r="J136" s="495">
        <v>42919</v>
      </c>
      <c r="K136" s="497">
        <v>196.72</v>
      </c>
      <c r="L136" s="495">
        <v>43283</v>
      </c>
      <c r="M136" s="497">
        <v>195.73400000000001</v>
      </c>
      <c r="N136" s="495">
        <v>43648</v>
      </c>
      <c r="O136" s="498">
        <v>177.26300000000001</v>
      </c>
      <c r="P136" s="495">
        <v>44013</v>
      </c>
      <c r="Q136" s="498">
        <v>285.35199999999998</v>
      </c>
      <c r="R136" s="495">
        <v>44379</v>
      </c>
      <c r="S136" s="498">
        <v>255.60499999999999</v>
      </c>
      <c r="T136" s="495">
        <v>44747</v>
      </c>
      <c r="U136" s="498">
        <v>444.971</v>
      </c>
      <c r="V136" s="495"/>
      <c r="W136" s="498"/>
    </row>
    <row r="137" spans="2:23">
      <c r="B137" s="495">
        <v>41458</v>
      </c>
      <c r="C137" s="496">
        <v>185</v>
      </c>
      <c r="D137" s="495">
        <v>41823</v>
      </c>
      <c r="E137" s="496">
        <v>141</v>
      </c>
      <c r="F137" s="495">
        <v>42165</v>
      </c>
      <c r="G137" s="496">
        <v>226</v>
      </c>
      <c r="H137" s="495">
        <v>42556</v>
      </c>
      <c r="I137" s="496">
        <v>262</v>
      </c>
      <c r="J137" s="495">
        <v>42921</v>
      </c>
      <c r="K137" s="497">
        <v>196.72</v>
      </c>
      <c r="L137" s="495">
        <v>43284</v>
      </c>
      <c r="M137" s="497">
        <v>192.18299999999999</v>
      </c>
      <c r="N137" s="495">
        <v>43649</v>
      </c>
      <c r="O137" s="498">
        <v>178.17</v>
      </c>
      <c r="P137" s="495">
        <v>44014</v>
      </c>
      <c r="Q137" s="498">
        <v>279.20400000000001</v>
      </c>
      <c r="R137" s="495">
        <v>44383</v>
      </c>
      <c r="S137" s="498">
        <v>258.70499999999998</v>
      </c>
      <c r="T137" s="495">
        <v>44748</v>
      </c>
      <c r="U137" s="498">
        <v>434.78199999999998</v>
      </c>
      <c r="V137" s="495"/>
      <c r="W137" s="498"/>
    </row>
    <row r="138" spans="2:23">
      <c r="B138" s="495">
        <v>41460</v>
      </c>
      <c r="C138" s="496">
        <v>182</v>
      </c>
      <c r="D138" s="495">
        <v>41827</v>
      </c>
      <c r="E138" s="496">
        <v>142</v>
      </c>
      <c r="F138" s="495">
        <v>42166</v>
      </c>
      <c r="G138" s="496">
        <v>224</v>
      </c>
      <c r="H138" s="495">
        <v>42557</v>
      </c>
      <c r="I138" s="496">
        <v>261</v>
      </c>
      <c r="J138" s="495">
        <v>42922</v>
      </c>
      <c r="K138" s="497">
        <v>202.18700000000001</v>
      </c>
      <c r="L138" s="495">
        <v>43286</v>
      </c>
      <c r="M138" s="497">
        <v>186.71899999999999</v>
      </c>
      <c r="N138" s="495">
        <v>43651</v>
      </c>
      <c r="O138" s="498">
        <v>174.48400000000001</v>
      </c>
      <c r="P138" s="495">
        <v>44018</v>
      </c>
      <c r="Q138" s="498">
        <v>273.01100000000002</v>
      </c>
      <c r="R138" s="495">
        <v>44384</v>
      </c>
      <c r="S138" s="498">
        <v>259.50099999999998</v>
      </c>
      <c r="T138" s="495">
        <v>44749</v>
      </c>
      <c r="U138" s="498">
        <v>430.20400000000001</v>
      </c>
      <c r="V138" s="495"/>
      <c r="W138" s="498"/>
    </row>
    <row r="139" spans="2:23">
      <c r="B139" s="495">
        <v>41463</v>
      </c>
      <c r="C139" s="496">
        <v>191</v>
      </c>
      <c r="D139" s="495">
        <v>41828</v>
      </c>
      <c r="E139" s="496">
        <v>144</v>
      </c>
      <c r="F139" s="495">
        <v>42167</v>
      </c>
      <c r="G139" s="496">
        <v>223</v>
      </c>
      <c r="H139" s="495">
        <v>42558</v>
      </c>
      <c r="I139" s="496">
        <v>262</v>
      </c>
      <c r="J139" s="495">
        <v>42923</v>
      </c>
      <c r="K139" s="497">
        <v>206.792</v>
      </c>
      <c r="L139" s="495">
        <v>43287</v>
      </c>
      <c r="M139" s="497">
        <v>181.566</v>
      </c>
      <c r="N139" s="495">
        <v>43654</v>
      </c>
      <c r="O139" s="498">
        <v>171.81</v>
      </c>
      <c r="P139" s="495">
        <v>44019</v>
      </c>
      <c r="Q139" s="498">
        <v>280.08199999999999</v>
      </c>
      <c r="R139" s="495">
        <v>44385</v>
      </c>
      <c r="S139" s="498">
        <v>261.71899999999999</v>
      </c>
      <c r="T139" s="495">
        <v>44750</v>
      </c>
      <c r="U139" s="498">
        <v>424.233</v>
      </c>
      <c r="V139" s="495"/>
      <c r="W139" s="498"/>
    </row>
    <row r="140" spans="2:23">
      <c r="B140" s="495">
        <v>41464</v>
      </c>
      <c r="C140" s="496">
        <v>191</v>
      </c>
      <c r="D140" s="495">
        <v>41829</v>
      </c>
      <c r="E140" s="496">
        <v>148</v>
      </c>
      <c r="F140" s="495">
        <v>42170</v>
      </c>
      <c r="G140" s="496">
        <v>227</v>
      </c>
      <c r="H140" s="495">
        <v>42559</v>
      </c>
      <c r="I140" s="496">
        <v>258</v>
      </c>
      <c r="J140" s="495">
        <v>42926</v>
      </c>
      <c r="K140" s="497">
        <v>205.744</v>
      </c>
      <c r="L140" s="495">
        <v>43290</v>
      </c>
      <c r="M140" s="497">
        <v>175.54400000000001</v>
      </c>
      <c r="N140" s="495">
        <v>43655</v>
      </c>
      <c r="O140" s="498">
        <v>172.316</v>
      </c>
      <c r="P140" s="495">
        <v>44020</v>
      </c>
      <c r="Q140" s="498">
        <v>280.197</v>
      </c>
      <c r="R140" s="495">
        <v>44386</v>
      </c>
      <c r="S140" s="498">
        <v>260.86</v>
      </c>
      <c r="T140" s="495">
        <v>44753</v>
      </c>
      <c r="U140" s="498">
        <v>437.30099999999999</v>
      </c>
      <c r="V140" s="495"/>
      <c r="W140" s="498"/>
    </row>
    <row r="141" spans="2:23">
      <c r="B141" s="495">
        <v>41465</v>
      </c>
      <c r="C141" s="496">
        <v>184</v>
      </c>
      <c r="D141" s="495">
        <v>41830</v>
      </c>
      <c r="E141" s="496">
        <v>149</v>
      </c>
      <c r="F141" s="495">
        <v>42171</v>
      </c>
      <c r="G141" s="496">
        <v>231</v>
      </c>
      <c r="H141" s="495">
        <v>42562</v>
      </c>
      <c r="I141" s="496">
        <v>250</v>
      </c>
      <c r="J141" s="495">
        <v>42927</v>
      </c>
      <c r="K141" s="497">
        <v>203.828</v>
      </c>
      <c r="L141" s="495">
        <v>43291</v>
      </c>
      <c r="M141" s="497">
        <v>173.67400000000001</v>
      </c>
      <c r="N141" s="495">
        <v>43656</v>
      </c>
      <c r="O141" s="498">
        <v>171.31700000000001</v>
      </c>
      <c r="P141" s="495">
        <v>44021</v>
      </c>
      <c r="Q141" s="498">
        <v>291.02800000000002</v>
      </c>
      <c r="R141" s="495">
        <v>44389</v>
      </c>
      <c r="S141" s="498">
        <v>264.14999999999998</v>
      </c>
      <c r="T141" s="495">
        <v>44754</v>
      </c>
      <c r="U141" s="498">
        <v>447.762</v>
      </c>
      <c r="V141" s="495"/>
      <c r="W141" s="498"/>
    </row>
    <row r="142" spans="2:23">
      <c r="B142" s="495">
        <v>41466</v>
      </c>
      <c r="C142" s="496">
        <v>187</v>
      </c>
      <c r="D142" s="495">
        <v>41831</v>
      </c>
      <c r="E142" s="496">
        <v>151</v>
      </c>
      <c r="F142" s="495">
        <v>42172</v>
      </c>
      <c r="G142" s="496">
        <v>233</v>
      </c>
      <c r="H142" s="495">
        <v>42563</v>
      </c>
      <c r="I142" s="496">
        <v>243</v>
      </c>
      <c r="J142" s="495">
        <v>42928</v>
      </c>
      <c r="K142" s="497">
        <v>201.33</v>
      </c>
      <c r="L142" s="495">
        <v>43292</v>
      </c>
      <c r="M142" s="497">
        <v>181.74799999999999</v>
      </c>
      <c r="N142" s="495">
        <v>43657</v>
      </c>
      <c r="O142" s="498">
        <v>168.72399999999999</v>
      </c>
      <c r="P142" s="495">
        <v>44022</v>
      </c>
      <c r="Q142" s="498">
        <v>291.61399999999998</v>
      </c>
      <c r="R142" s="495">
        <v>44390</v>
      </c>
      <c r="S142" s="498">
        <v>266.62299999999999</v>
      </c>
      <c r="T142" s="495">
        <v>44755</v>
      </c>
      <c r="U142" s="498">
        <v>461.01900000000001</v>
      </c>
      <c r="V142" s="495"/>
      <c r="W142" s="498"/>
    </row>
    <row r="143" spans="2:23">
      <c r="B143" s="495">
        <v>41467</v>
      </c>
      <c r="C143" s="496">
        <v>179</v>
      </c>
      <c r="D143" s="495">
        <v>41834</v>
      </c>
      <c r="E143" s="496">
        <v>151</v>
      </c>
      <c r="F143" s="495">
        <v>42173</v>
      </c>
      <c r="G143" s="496">
        <v>220</v>
      </c>
      <c r="H143" s="495">
        <v>42564</v>
      </c>
      <c r="I143" s="496">
        <v>247</v>
      </c>
      <c r="J143" s="495">
        <v>42929</v>
      </c>
      <c r="K143" s="497">
        <v>201.71</v>
      </c>
      <c r="L143" s="495">
        <v>43293</v>
      </c>
      <c r="M143" s="497">
        <v>182.637</v>
      </c>
      <c r="N143" s="495">
        <v>43658</v>
      </c>
      <c r="O143" s="498">
        <v>170.69800000000001</v>
      </c>
      <c r="P143" s="495">
        <v>44025</v>
      </c>
      <c r="Q143" s="498">
        <v>288.61399999999998</v>
      </c>
      <c r="R143" s="495">
        <v>44391</v>
      </c>
      <c r="S143" s="498">
        <v>268.04700000000003</v>
      </c>
      <c r="T143" s="495">
        <v>44756</v>
      </c>
      <c r="U143" s="498">
        <v>469.64400000000001</v>
      </c>
      <c r="V143" s="495"/>
      <c r="W143" s="498"/>
    </row>
    <row r="144" spans="2:23">
      <c r="B144" s="495">
        <v>41470</v>
      </c>
      <c r="C144" s="496">
        <v>165</v>
      </c>
      <c r="D144" s="495">
        <v>41835</v>
      </c>
      <c r="E144" s="496">
        <v>152</v>
      </c>
      <c r="F144" s="495">
        <v>42174</v>
      </c>
      <c r="G144" s="496">
        <v>224</v>
      </c>
      <c r="H144" s="495">
        <v>42565</v>
      </c>
      <c r="I144" s="496">
        <v>245</v>
      </c>
      <c r="J144" s="495">
        <v>42930</v>
      </c>
      <c r="K144" s="497">
        <v>202.72200000000001</v>
      </c>
      <c r="L144" s="495">
        <v>43294</v>
      </c>
      <c r="M144" s="497">
        <v>178.661</v>
      </c>
      <c r="N144" s="495">
        <v>43661</v>
      </c>
      <c r="O144" s="498">
        <v>171.12700000000001</v>
      </c>
      <c r="P144" s="495">
        <v>44026</v>
      </c>
      <c r="Q144" s="498">
        <v>292.73399999999998</v>
      </c>
      <c r="R144" s="495">
        <v>44392</v>
      </c>
      <c r="S144" s="498">
        <v>268.512</v>
      </c>
      <c r="T144" s="495">
        <v>44757</v>
      </c>
      <c r="U144" s="498">
        <v>473.61399999999998</v>
      </c>
      <c r="V144" s="495"/>
      <c r="W144" s="498"/>
    </row>
    <row r="145" spans="2:23">
      <c r="B145" s="495">
        <v>41471</v>
      </c>
      <c r="C145" s="496">
        <v>160</v>
      </c>
      <c r="D145" s="495">
        <v>41836</v>
      </c>
      <c r="E145" s="496">
        <v>152</v>
      </c>
      <c r="F145" s="495">
        <v>42177</v>
      </c>
      <c r="G145" s="496">
        <v>220</v>
      </c>
      <c r="H145" s="495">
        <v>42566</v>
      </c>
      <c r="I145" s="496">
        <v>242</v>
      </c>
      <c r="J145" s="495">
        <v>42933</v>
      </c>
      <c r="K145" s="497">
        <v>203.727</v>
      </c>
      <c r="L145" s="495">
        <v>43297</v>
      </c>
      <c r="M145" s="497">
        <v>180.328</v>
      </c>
      <c r="N145" s="495">
        <v>43662</v>
      </c>
      <c r="O145" s="498">
        <v>170.54900000000001</v>
      </c>
      <c r="P145" s="495">
        <v>44027</v>
      </c>
      <c r="Q145" s="498">
        <v>284.44900000000001</v>
      </c>
      <c r="R145" s="495">
        <v>44393</v>
      </c>
      <c r="S145" s="498">
        <v>262.94299999999998</v>
      </c>
      <c r="T145" s="495">
        <v>44760</v>
      </c>
      <c r="U145" s="498">
        <v>460.06900000000002</v>
      </c>
      <c r="V145" s="495"/>
      <c r="W145" s="498"/>
    </row>
    <row r="146" spans="2:23">
      <c r="B146" s="495">
        <v>41472</v>
      </c>
      <c r="C146" s="496">
        <v>153</v>
      </c>
      <c r="D146" s="495">
        <v>41837</v>
      </c>
      <c r="E146" s="496">
        <v>155</v>
      </c>
      <c r="F146" s="495">
        <v>42178</v>
      </c>
      <c r="G146" s="496">
        <v>214</v>
      </c>
      <c r="H146" s="495">
        <v>42569</v>
      </c>
      <c r="I146" s="496">
        <v>244</v>
      </c>
      <c r="J146" s="495">
        <v>42934</v>
      </c>
      <c r="K146" s="497">
        <v>203.84200000000001</v>
      </c>
      <c r="L146" s="495">
        <v>43298</v>
      </c>
      <c r="M146" s="497">
        <v>179.14699999999999</v>
      </c>
      <c r="N146" s="495">
        <v>43663</v>
      </c>
      <c r="O146" s="498">
        <v>175.79400000000001</v>
      </c>
      <c r="P146" s="495">
        <v>44028</v>
      </c>
      <c r="Q146" s="498">
        <v>279.56</v>
      </c>
      <c r="R146" s="495">
        <v>44396</v>
      </c>
      <c r="S146" s="498">
        <v>269.61500000000001</v>
      </c>
      <c r="T146" s="495">
        <v>44761</v>
      </c>
      <c r="U146" s="498">
        <v>447.245</v>
      </c>
      <c r="V146" s="495"/>
      <c r="W146" s="498"/>
    </row>
    <row r="147" spans="2:23">
      <c r="B147" s="495">
        <v>41473</v>
      </c>
      <c r="C147" s="496">
        <v>146</v>
      </c>
      <c r="D147" s="495">
        <v>41838</v>
      </c>
      <c r="E147" s="496">
        <v>147</v>
      </c>
      <c r="F147" s="495">
        <v>42179</v>
      </c>
      <c r="G147" s="496">
        <v>218</v>
      </c>
      <c r="H147" s="495">
        <v>42570</v>
      </c>
      <c r="I147" s="496">
        <v>243</v>
      </c>
      <c r="J147" s="495">
        <v>42935</v>
      </c>
      <c r="K147" s="497">
        <v>203.047</v>
      </c>
      <c r="L147" s="495">
        <v>43299</v>
      </c>
      <c r="M147" s="497">
        <v>178.179</v>
      </c>
      <c r="N147" s="495">
        <v>43664</v>
      </c>
      <c r="O147" s="498">
        <v>176.98599999999999</v>
      </c>
      <c r="P147" s="495">
        <v>44029</v>
      </c>
      <c r="Q147" s="498">
        <v>272.37700000000001</v>
      </c>
      <c r="R147" s="495">
        <v>44397</v>
      </c>
      <c r="S147" s="498">
        <v>267.98099999999999</v>
      </c>
      <c r="T147" s="495">
        <v>44762</v>
      </c>
      <c r="U147" s="498">
        <v>423.35700000000003</v>
      </c>
      <c r="V147" s="495"/>
      <c r="W147" s="498"/>
    </row>
    <row r="148" spans="2:23">
      <c r="B148" s="495">
        <v>41474</v>
      </c>
      <c r="C148" s="496">
        <v>149</v>
      </c>
      <c r="D148" s="495">
        <v>41841</v>
      </c>
      <c r="E148" s="496">
        <v>147</v>
      </c>
      <c r="F148" s="495">
        <v>42180</v>
      </c>
      <c r="G148" s="496">
        <v>221</v>
      </c>
      <c r="H148" s="495">
        <v>42571</v>
      </c>
      <c r="I148" s="496">
        <v>237</v>
      </c>
      <c r="J148" s="495">
        <v>42936</v>
      </c>
      <c r="K148" s="497">
        <v>200.80199999999999</v>
      </c>
      <c r="L148" s="495">
        <v>43300</v>
      </c>
      <c r="M148" s="497">
        <v>181.51900000000001</v>
      </c>
      <c r="N148" s="495">
        <v>43665</v>
      </c>
      <c r="O148" s="498">
        <v>174.97900000000001</v>
      </c>
      <c r="P148" s="495">
        <v>44032</v>
      </c>
      <c r="Q148" s="498">
        <v>263.29899999999998</v>
      </c>
      <c r="R148" s="495">
        <v>44398</v>
      </c>
      <c r="S148" s="498">
        <v>268.19</v>
      </c>
      <c r="T148" s="495">
        <v>44763</v>
      </c>
      <c r="U148" s="498">
        <v>436.64699999999999</v>
      </c>
      <c r="V148" s="495"/>
      <c r="W148" s="498"/>
    </row>
    <row r="149" spans="2:23">
      <c r="B149" s="495">
        <v>41477</v>
      </c>
      <c r="C149" s="496">
        <v>150</v>
      </c>
      <c r="D149" s="495">
        <v>41842</v>
      </c>
      <c r="E149" s="496">
        <v>142</v>
      </c>
      <c r="F149" s="495">
        <v>42181</v>
      </c>
      <c r="G149" s="496">
        <v>218</v>
      </c>
      <c r="H149" s="495">
        <v>42572</v>
      </c>
      <c r="I149" s="496">
        <v>243</v>
      </c>
      <c r="J149" s="495">
        <v>42937</v>
      </c>
      <c r="K149" s="497">
        <v>198.35</v>
      </c>
      <c r="L149" s="495">
        <v>43301</v>
      </c>
      <c r="M149" s="497">
        <v>179.71700000000001</v>
      </c>
      <c r="N149" s="495">
        <v>43668</v>
      </c>
      <c r="O149" s="498">
        <v>171.71299999999999</v>
      </c>
      <c r="P149" s="495">
        <v>44033</v>
      </c>
      <c r="Q149" s="498">
        <v>253.19300000000001</v>
      </c>
      <c r="R149" s="495">
        <v>44399</v>
      </c>
      <c r="S149" s="498">
        <v>272.69799999999998</v>
      </c>
      <c r="T149" s="495">
        <v>44764</v>
      </c>
      <c r="U149" s="498">
        <v>434.85</v>
      </c>
      <c r="V149" s="495"/>
      <c r="W149" s="498"/>
    </row>
    <row r="150" spans="2:23">
      <c r="B150" s="495">
        <v>41478</v>
      </c>
      <c r="C150" s="496">
        <v>150</v>
      </c>
      <c r="D150" s="495">
        <v>41843</v>
      </c>
      <c r="E150" s="496">
        <v>137</v>
      </c>
      <c r="F150" s="495">
        <v>42184</v>
      </c>
      <c r="G150" s="496">
        <v>232</v>
      </c>
      <c r="H150" s="495">
        <v>42573</v>
      </c>
      <c r="I150" s="496">
        <v>243</v>
      </c>
      <c r="J150" s="495">
        <v>42940</v>
      </c>
      <c r="K150" s="497">
        <v>197.68799999999999</v>
      </c>
      <c r="L150" s="495">
        <v>43304</v>
      </c>
      <c r="M150" s="497">
        <v>179.08500000000001</v>
      </c>
      <c r="N150" s="495">
        <v>43669</v>
      </c>
      <c r="O150" s="498">
        <v>167.61</v>
      </c>
      <c r="P150" s="495">
        <v>44034</v>
      </c>
      <c r="Q150" s="498">
        <v>251.32300000000001</v>
      </c>
      <c r="R150" s="495">
        <v>44400</v>
      </c>
      <c r="S150" s="498">
        <v>272.51400000000001</v>
      </c>
      <c r="T150" s="495">
        <v>44767</v>
      </c>
      <c r="U150" s="498">
        <v>425.49599999999998</v>
      </c>
      <c r="V150" s="495"/>
      <c r="W150" s="498"/>
    </row>
    <row r="151" spans="2:23">
      <c r="B151" s="495">
        <v>41479</v>
      </c>
      <c r="C151" s="496">
        <v>156</v>
      </c>
      <c r="D151" s="495">
        <v>41844</v>
      </c>
      <c r="E151" s="496">
        <v>138</v>
      </c>
      <c r="F151" s="495">
        <v>42185</v>
      </c>
      <c r="G151" s="496">
        <v>229</v>
      </c>
      <c r="H151" s="495">
        <v>42576</v>
      </c>
      <c r="I151" s="496">
        <v>251</v>
      </c>
      <c r="J151" s="495">
        <v>42941</v>
      </c>
      <c r="K151" s="497">
        <v>201.203</v>
      </c>
      <c r="L151" s="495">
        <v>43305</v>
      </c>
      <c r="M151" s="497">
        <v>181.328</v>
      </c>
      <c r="N151" s="495">
        <v>43670</v>
      </c>
      <c r="O151" s="498">
        <v>169.18600000000001</v>
      </c>
      <c r="P151" s="495">
        <v>44035</v>
      </c>
      <c r="Q151" s="498">
        <v>258.68599999999998</v>
      </c>
      <c r="R151" s="495">
        <v>44403</v>
      </c>
      <c r="S151" s="498">
        <v>276.25200000000001</v>
      </c>
      <c r="T151" s="495">
        <v>44768</v>
      </c>
      <c r="U151" s="498">
        <v>426.77499999999998</v>
      </c>
      <c r="V151" s="495"/>
      <c r="W151" s="498"/>
    </row>
    <row r="152" spans="2:23">
      <c r="B152" s="495">
        <v>41480</v>
      </c>
      <c r="C152" s="496">
        <v>161</v>
      </c>
      <c r="D152" s="495">
        <v>41845</v>
      </c>
      <c r="E152" s="496">
        <v>145</v>
      </c>
      <c r="F152" s="495">
        <v>42186</v>
      </c>
      <c r="G152" s="496">
        <v>221</v>
      </c>
      <c r="H152" s="495">
        <v>42577</v>
      </c>
      <c r="I152" s="496">
        <v>257</v>
      </c>
      <c r="J152" s="495">
        <v>42942</v>
      </c>
      <c r="K152" s="497">
        <v>197.167</v>
      </c>
      <c r="L152" s="495">
        <v>43306</v>
      </c>
      <c r="M152" s="497">
        <v>179.49299999999999</v>
      </c>
      <c r="N152" s="495">
        <v>43671</v>
      </c>
      <c r="O152" s="498">
        <v>167.54</v>
      </c>
      <c r="P152" s="495">
        <v>44036</v>
      </c>
      <c r="Q152" s="498">
        <v>264.077</v>
      </c>
      <c r="R152" s="495">
        <v>44404</v>
      </c>
      <c r="S152" s="498">
        <v>282.66300000000001</v>
      </c>
      <c r="T152" s="495">
        <v>44769</v>
      </c>
      <c r="U152" s="498">
        <v>417.91899999999998</v>
      </c>
      <c r="V152" s="495"/>
      <c r="W152" s="498"/>
    </row>
    <row r="153" spans="2:23">
      <c r="B153" s="495">
        <v>41481</v>
      </c>
      <c r="C153" s="496">
        <v>170</v>
      </c>
      <c r="D153" s="495">
        <v>41848</v>
      </c>
      <c r="E153" s="496">
        <v>145</v>
      </c>
      <c r="F153" s="495">
        <v>42187</v>
      </c>
      <c r="G153" s="496">
        <v>220</v>
      </c>
      <c r="H153" s="495">
        <v>42578</v>
      </c>
      <c r="I153" s="496">
        <v>267</v>
      </c>
      <c r="J153" s="495">
        <v>42943</v>
      </c>
      <c r="K153" s="497">
        <v>195.261</v>
      </c>
      <c r="L153" s="495">
        <v>43307</v>
      </c>
      <c r="M153" s="497">
        <v>173.35300000000001</v>
      </c>
      <c r="N153" s="495">
        <v>43672</v>
      </c>
      <c r="O153" s="498">
        <v>168.73099999999999</v>
      </c>
      <c r="P153" s="495">
        <v>44039</v>
      </c>
      <c r="Q153" s="498">
        <v>259.88799999999998</v>
      </c>
      <c r="R153" s="495">
        <v>44405</v>
      </c>
      <c r="S153" s="498">
        <v>283.39699999999999</v>
      </c>
      <c r="T153" s="495">
        <v>44770</v>
      </c>
      <c r="U153" s="498">
        <v>413.80399999999997</v>
      </c>
      <c r="V153" s="495"/>
      <c r="W153" s="498"/>
    </row>
    <row r="154" spans="2:23">
      <c r="B154" s="495">
        <v>41484</v>
      </c>
      <c r="C154" s="496">
        <v>175</v>
      </c>
      <c r="D154" s="495">
        <v>41849</v>
      </c>
      <c r="E154" s="496">
        <v>151</v>
      </c>
      <c r="F154" s="495">
        <v>42191</v>
      </c>
      <c r="G154" s="496">
        <v>231</v>
      </c>
      <c r="H154" s="495">
        <v>42579</v>
      </c>
      <c r="I154" s="496">
        <v>270</v>
      </c>
      <c r="J154" s="495">
        <v>42944</v>
      </c>
      <c r="K154" s="497">
        <v>193.33500000000001</v>
      </c>
      <c r="L154" s="495">
        <v>43308</v>
      </c>
      <c r="M154" s="497">
        <v>172.87899999999999</v>
      </c>
      <c r="N154" s="495">
        <v>43675</v>
      </c>
      <c r="O154" s="498">
        <v>168.21799999999999</v>
      </c>
      <c r="P154" s="495">
        <v>44040</v>
      </c>
      <c r="Q154" s="498">
        <v>263.47199999999998</v>
      </c>
      <c r="R154" s="495">
        <v>44406</v>
      </c>
      <c r="S154" s="498">
        <v>276.714</v>
      </c>
      <c r="T154" s="495">
        <v>44771</v>
      </c>
      <c r="U154" s="498">
        <v>402.70699999999999</v>
      </c>
      <c r="V154" s="495"/>
      <c r="W154" s="498"/>
    </row>
    <row r="155" spans="2:23">
      <c r="B155" s="495">
        <v>41485</v>
      </c>
      <c r="C155" s="496">
        <v>179</v>
      </c>
      <c r="D155" s="495">
        <v>41850</v>
      </c>
      <c r="E155" s="496">
        <v>142</v>
      </c>
      <c r="F155" s="495">
        <v>42192</v>
      </c>
      <c r="G155" s="496">
        <v>238</v>
      </c>
      <c r="H155" s="495">
        <v>42580</v>
      </c>
      <c r="I155" s="496">
        <v>273</v>
      </c>
      <c r="J155" s="495">
        <v>42947</v>
      </c>
      <c r="K155" s="497">
        <v>195.00299999999999</v>
      </c>
      <c r="L155" s="495">
        <v>43311</v>
      </c>
      <c r="M155" s="497">
        <v>173.286</v>
      </c>
      <c r="N155" s="495">
        <v>43676</v>
      </c>
      <c r="O155" s="498">
        <v>172.49100000000001</v>
      </c>
      <c r="P155" s="495">
        <v>44041</v>
      </c>
      <c r="Q155" s="498">
        <v>257.08600000000001</v>
      </c>
      <c r="R155" s="495">
        <v>44407</v>
      </c>
      <c r="S155" s="498">
        <v>275.89800000000002</v>
      </c>
      <c r="T155" s="495">
        <v>44774</v>
      </c>
      <c r="U155" s="498">
        <v>412.64499999999998</v>
      </c>
      <c r="V155" s="495"/>
      <c r="W155" s="498"/>
    </row>
    <row r="156" spans="2:23">
      <c r="B156" s="495">
        <v>41486</v>
      </c>
      <c r="C156" s="496">
        <v>183</v>
      </c>
      <c r="D156" s="495">
        <v>41851</v>
      </c>
      <c r="E156" s="496">
        <v>145</v>
      </c>
      <c r="F156" s="495">
        <v>42193</v>
      </c>
      <c r="G156" s="496">
        <v>243</v>
      </c>
      <c r="H156" s="495">
        <v>42583</v>
      </c>
      <c r="I156" s="496">
        <v>270</v>
      </c>
      <c r="J156" s="495">
        <v>42948</v>
      </c>
      <c r="K156" s="497">
        <v>194.22</v>
      </c>
      <c r="L156" s="495">
        <v>43312</v>
      </c>
      <c r="M156" s="497">
        <v>177.25399999999999</v>
      </c>
      <c r="N156" s="495">
        <v>43677</v>
      </c>
      <c r="O156" s="498">
        <v>175.34</v>
      </c>
      <c r="P156" s="495">
        <v>44042</v>
      </c>
      <c r="Q156" s="498">
        <v>259.76799999999997</v>
      </c>
      <c r="R156" s="495">
        <v>44410</v>
      </c>
      <c r="S156" s="498">
        <v>275.86</v>
      </c>
      <c r="T156" s="495">
        <v>44775</v>
      </c>
      <c r="U156" s="498">
        <v>408.87599999999998</v>
      </c>
      <c r="V156" s="495"/>
      <c r="W156" s="498"/>
    </row>
    <row r="157" spans="2:23">
      <c r="B157" s="495">
        <v>41487</v>
      </c>
      <c r="C157" s="496">
        <v>183</v>
      </c>
      <c r="D157" s="495">
        <v>41852</v>
      </c>
      <c r="E157" s="496">
        <v>159</v>
      </c>
      <c r="F157" s="495">
        <v>42194</v>
      </c>
      <c r="G157" s="496">
        <v>237</v>
      </c>
      <c r="H157" s="495">
        <v>42584</v>
      </c>
      <c r="I157" s="496">
        <v>269</v>
      </c>
      <c r="J157" s="495">
        <v>42949</v>
      </c>
      <c r="K157" s="497">
        <v>195.64400000000001</v>
      </c>
      <c r="L157" s="495">
        <v>43313</v>
      </c>
      <c r="M157" s="497">
        <v>180.01400000000001</v>
      </c>
      <c r="N157" s="495">
        <v>43678</v>
      </c>
      <c r="O157" s="498">
        <v>185.93299999999999</v>
      </c>
      <c r="P157" s="495">
        <v>44043</v>
      </c>
      <c r="Q157" s="498">
        <v>253.17500000000001</v>
      </c>
      <c r="R157" s="495">
        <v>44411</v>
      </c>
      <c r="S157" s="498">
        <v>276.48899999999998</v>
      </c>
      <c r="T157" s="495">
        <v>44776</v>
      </c>
      <c r="U157" s="498">
        <v>414.60199999999998</v>
      </c>
      <c r="V157" s="495"/>
      <c r="W157" s="498"/>
    </row>
    <row r="158" spans="2:23">
      <c r="B158" s="495">
        <v>41488</v>
      </c>
      <c r="C158" s="496">
        <v>185</v>
      </c>
      <c r="D158" s="495">
        <v>41855</v>
      </c>
      <c r="E158" s="496">
        <v>157</v>
      </c>
      <c r="F158" s="495">
        <v>42195</v>
      </c>
      <c r="G158" s="496">
        <v>228</v>
      </c>
      <c r="H158" s="495">
        <v>42585</v>
      </c>
      <c r="I158" s="496">
        <v>265</v>
      </c>
      <c r="J158" s="495">
        <v>42950</v>
      </c>
      <c r="K158" s="497">
        <v>196.869</v>
      </c>
      <c r="L158" s="495">
        <v>43314</v>
      </c>
      <c r="M158" s="497">
        <v>179.59100000000001</v>
      </c>
      <c r="N158" s="495">
        <v>43679</v>
      </c>
      <c r="O158" s="498">
        <v>187.86699999999999</v>
      </c>
      <c r="P158" s="495">
        <v>44046</v>
      </c>
      <c r="Q158" s="498">
        <v>247.642</v>
      </c>
      <c r="R158" s="495">
        <v>44412</v>
      </c>
      <c r="S158" s="498">
        <v>277.48500000000001</v>
      </c>
      <c r="T158" s="495">
        <v>44777</v>
      </c>
      <c r="U158" s="498">
        <v>403.61900000000003</v>
      </c>
      <c r="V158" s="495"/>
      <c r="W158" s="498"/>
    </row>
    <row r="159" spans="2:23">
      <c r="B159" s="495">
        <v>41491</v>
      </c>
      <c r="C159" s="496">
        <v>180</v>
      </c>
      <c r="D159" s="495">
        <v>41856</v>
      </c>
      <c r="E159" s="496">
        <v>162</v>
      </c>
      <c r="F159" s="495">
        <v>42198</v>
      </c>
      <c r="G159" s="496">
        <v>226</v>
      </c>
      <c r="H159" s="495">
        <v>42586</v>
      </c>
      <c r="I159" s="496">
        <v>256</v>
      </c>
      <c r="J159" s="495">
        <v>42951</v>
      </c>
      <c r="K159" s="497">
        <v>201.37</v>
      </c>
      <c r="L159" s="495">
        <v>43315</v>
      </c>
      <c r="M159" s="497">
        <v>178.29599999999999</v>
      </c>
      <c r="N159" s="495">
        <v>43682</v>
      </c>
      <c r="O159" s="498">
        <v>195.649</v>
      </c>
      <c r="P159" s="495">
        <v>44047</v>
      </c>
      <c r="Q159" s="498">
        <v>248.94300000000001</v>
      </c>
      <c r="R159" s="495">
        <v>44413</v>
      </c>
      <c r="S159" s="498">
        <v>275.983</v>
      </c>
      <c r="T159" s="495">
        <v>44778</v>
      </c>
      <c r="U159" s="498">
        <v>398.31400000000002</v>
      </c>
      <c r="V159" s="495"/>
      <c r="W159" s="498"/>
    </row>
    <row r="160" spans="2:23">
      <c r="B160" s="495">
        <v>41492</v>
      </c>
      <c r="C160" s="496">
        <v>174</v>
      </c>
      <c r="D160" s="495">
        <v>41857</v>
      </c>
      <c r="E160" s="496">
        <v>161</v>
      </c>
      <c r="F160" s="495">
        <v>42199</v>
      </c>
      <c r="G160" s="496">
        <v>227</v>
      </c>
      <c r="H160" s="495">
        <v>42587</v>
      </c>
      <c r="I160" s="496">
        <v>245</v>
      </c>
      <c r="J160" s="495">
        <v>42954</v>
      </c>
      <c r="K160" s="497">
        <v>199.666</v>
      </c>
      <c r="L160" s="495">
        <v>43318</v>
      </c>
      <c r="M160" s="497">
        <v>178.02799999999999</v>
      </c>
      <c r="N160" s="495">
        <v>43683</v>
      </c>
      <c r="O160" s="498">
        <v>194.59899999999999</v>
      </c>
      <c r="P160" s="495">
        <v>44048</v>
      </c>
      <c r="Q160" s="498">
        <v>239.208</v>
      </c>
      <c r="R160" s="495">
        <v>44414</v>
      </c>
      <c r="S160" s="498">
        <v>273.59699999999998</v>
      </c>
      <c r="T160" s="495">
        <v>44781</v>
      </c>
      <c r="U160" s="498">
        <v>396.57299999999998</v>
      </c>
      <c r="V160" s="495"/>
      <c r="W160" s="498"/>
    </row>
    <row r="161" spans="2:23">
      <c r="B161" s="495">
        <v>41493</v>
      </c>
      <c r="C161" s="496">
        <v>178</v>
      </c>
      <c r="D161" s="495">
        <v>41858</v>
      </c>
      <c r="E161" s="496">
        <v>166</v>
      </c>
      <c r="F161" s="495">
        <v>42200</v>
      </c>
      <c r="G161" s="496">
        <v>234</v>
      </c>
      <c r="H161" s="495">
        <v>42590</v>
      </c>
      <c r="I161" s="496">
        <v>242</v>
      </c>
      <c r="J161" s="495">
        <v>42955</v>
      </c>
      <c r="K161" s="497">
        <v>197.233</v>
      </c>
      <c r="L161" s="495">
        <v>43319</v>
      </c>
      <c r="M161" s="497">
        <v>177.86600000000001</v>
      </c>
      <c r="N161" s="495">
        <v>43684</v>
      </c>
      <c r="O161" s="498">
        <v>187.61600000000001</v>
      </c>
      <c r="P161" s="495">
        <v>44049</v>
      </c>
      <c r="Q161" s="498">
        <v>231.346</v>
      </c>
      <c r="R161" s="495">
        <v>44417</v>
      </c>
      <c r="S161" s="498">
        <v>275.31200000000001</v>
      </c>
      <c r="T161" s="495">
        <v>44782</v>
      </c>
      <c r="U161" s="498">
        <v>405.93299999999999</v>
      </c>
      <c r="V161" s="495"/>
      <c r="W161" s="498"/>
    </row>
    <row r="162" spans="2:23">
      <c r="B162" s="495">
        <v>41494</v>
      </c>
      <c r="C162" s="496">
        <v>178</v>
      </c>
      <c r="D162" s="495">
        <v>41859</v>
      </c>
      <c r="E162" s="496">
        <v>166</v>
      </c>
      <c r="F162" s="495">
        <v>42201</v>
      </c>
      <c r="G162" s="496">
        <v>233</v>
      </c>
      <c r="H162" s="495">
        <v>42591</v>
      </c>
      <c r="I162" s="496">
        <v>245</v>
      </c>
      <c r="J162" s="495">
        <v>42956</v>
      </c>
      <c r="K162" s="497">
        <v>195.279</v>
      </c>
      <c r="L162" s="495">
        <v>43320</v>
      </c>
      <c r="M162" s="497">
        <v>180.232</v>
      </c>
      <c r="N162" s="495">
        <v>43685</v>
      </c>
      <c r="O162" s="498">
        <v>182.05600000000001</v>
      </c>
      <c r="P162" s="495">
        <v>44050</v>
      </c>
      <c r="Q162" s="498">
        <v>230.846</v>
      </c>
      <c r="R162" s="495">
        <v>44418</v>
      </c>
      <c r="S162" s="498">
        <v>276.72399999999999</v>
      </c>
      <c r="T162" s="495">
        <v>44783</v>
      </c>
      <c r="U162" s="498">
        <v>386.09899999999999</v>
      </c>
      <c r="V162" s="495"/>
      <c r="W162" s="498"/>
    </row>
    <row r="163" spans="2:23">
      <c r="B163" s="495">
        <v>41495</v>
      </c>
      <c r="C163" s="496">
        <v>178</v>
      </c>
      <c r="D163" s="495">
        <v>41862</v>
      </c>
      <c r="E163" s="496">
        <v>163</v>
      </c>
      <c r="F163" s="495">
        <v>42202</v>
      </c>
      <c r="G163" s="496">
        <v>234</v>
      </c>
      <c r="H163" s="495">
        <v>42592</v>
      </c>
      <c r="I163" s="496">
        <v>242</v>
      </c>
      <c r="J163" s="495">
        <v>42957</v>
      </c>
      <c r="K163" s="497">
        <v>201.87899999999999</v>
      </c>
      <c r="L163" s="495">
        <v>43321</v>
      </c>
      <c r="M163" s="497">
        <v>184.76499999999999</v>
      </c>
      <c r="N163" s="495">
        <v>43686</v>
      </c>
      <c r="O163" s="498">
        <v>178.41499999999999</v>
      </c>
      <c r="P163" s="495">
        <v>44053</v>
      </c>
      <c r="Q163" s="498">
        <v>227.73500000000001</v>
      </c>
      <c r="R163" s="495">
        <v>44419</v>
      </c>
      <c r="S163" s="498">
        <v>278.77100000000002</v>
      </c>
      <c r="T163" s="495">
        <v>44784</v>
      </c>
      <c r="U163" s="498">
        <v>369.39299999999997</v>
      </c>
      <c r="V163" s="495"/>
      <c r="W163" s="498"/>
    </row>
    <row r="164" spans="2:23">
      <c r="B164" s="495">
        <v>41498</v>
      </c>
      <c r="C164" s="496">
        <v>175</v>
      </c>
      <c r="D164" s="495">
        <v>41863</v>
      </c>
      <c r="E164" s="496">
        <v>159</v>
      </c>
      <c r="F164" s="495">
        <v>42205</v>
      </c>
      <c r="G164" s="496">
        <v>234</v>
      </c>
      <c r="H164" s="495">
        <v>42593</v>
      </c>
      <c r="I164" s="496">
        <v>235</v>
      </c>
      <c r="J164" s="495">
        <v>42958</v>
      </c>
      <c r="K164" s="497">
        <v>209.82499999999999</v>
      </c>
      <c r="L164" s="495">
        <v>43322</v>
      </c>
      <c r="M164" s="497">
        <v>193.43100000000001</v>
      </c>
      <c r="N164" s="495">
        <v>43689</v>
      </c>
      <c r="O164" s="498">
        <v>189.56399999999999</v>
      </c>
      <c r="P164" s="495">
        <v>44054</v>
      </c>
      <c r="Q164" s="498">
        <v>223.233</v>
      </c>
      <c r="R164" s="495">
        <v>44420</v>
      </c>
      <c r="S164" s="498">
        <v>277.20999999999998</v>
      </c>
      <c r="T164" s="495">
        <v>44785</v>
      </c>
      <c r="U164" s="498">
        <v>377.24</v>
      </c>
      <c r="V164" s="495"/>
      <c r="W164" s="498"/>
    </row>
    <row r="165" spans="2:23">
      <c r="B165" s="495">
        <v>41499</v>
      </c>
      <c r="C165" s="496">
        <v>172</v>
      </c>
      <c r="D165" s="495">
        <v>41864</v>
      </c>
      <c r="E165" s="496">
        <v>158</v>
      </c>
      <c r="F165" s="495">
        <v>42206</v>
      </c>
      <c r="G165" s="496">
        <v>238</v>
      </c>
      <c r="H165" s="495">
        <v>42594</v>
      </c>
      <c r="I165" s="496">
        <v>234</v>
      </c>
      <c r="J165" s="495">
        <v>42961</v>
      </c>
      <c r="K165" s="497">
        <v>207.85900000000001</v>
      </c>
      <c r="L165" s="495">
        <v>43325</v>
      </c>
      <c r="M165" s="497">
        <v>193.697</v>
      </c>
      <c r="N165" s="495">
        <v>43690</v>
      </c>
      <c r="O165" s="498">
        <v>183.91399999999999</v>
      </c>
      <c r="P165" s="495">
        <v>44055</v>
      </c>
      <c r="Q165" s="498">
        <v>225.36199999999999</v>
      </c>
      <c r="R165" s="495">
        <v>44421</v>
      </c>
      <c r="S165" s="498">
        <v>279.053</v>
      </c>
      <c r="T165" s="495">
        <v>44788</v>
      </c>
      <c r="U165" s="498">
        <v>377.85899999999998</v>
      </c>
      <c r="V165" s="495"/>
      <c r="W165" s="498"/>
    </row>
    <row r="166" spans="2:23">
      <c r="B166" s="495">
        <v>41500</v>
      </c>
      <c r="C166" s="496">
        <v>174</v>
      </c>
      <c r="D166" s="495">
        <v>41865</v>
      </c>
      <c r="E166" s="496">
        <v>152</v>
      </c>
      <c r="F166" s="495">
        <v>42207</v>
      </c>
      <c r="G166" s="496">
        <v>243</v>
      </c>
      <c r="H166" s="495">
        <v>42597</v>
      </c>
      <c r="I166" s="496">
        <v>227</v>
      </c>
      <c r="J166" s="495">
        <v>42962</v>
      </c>
      <c r="K166" s="497">
        <v>202.60400000000001</v>
      </c>
      <c r="L166" s="495">
        <v>43326</v>
      </c>
      <c r="M166" s="497">
        <v>188.28299999999999</v>
      </c>
      <c r="N166" s="495">
        <v>43691</v>
      </c>
      <c r="O166" s="498">
        <v>189.416</v>
      </c>
      <c r="P166" s="495">
        <v>44056</v>
      </c>
      <c r="Q166" s="498">
        <v>227.262</v>
      </c>
      <c r="R166" s="495">
        <v>44424</v>
      </c>
      <c r="S166" s="498">
        <v>280.63900000000001</v>
      </c>
      <c r="T166" s="495">
        <v>44789</v>
      </c>
      <c r="U166" s="498">
        <v>384.81599999999997</v>
      </c>
      <c r="V166" s="495"/>
      <c r="W166" s="498"/>
    </row>
    <row r="167" spans="2:23">
      <c r="B167" s="495">
        <v>41501</v>
      </c>
      <c r="C167" s="496">
        <v>178</v>
      </c>
      <c r="D167" s="495">
        <v>41866</v>
      </c>
      <c r="E167" s="496">
        <v>153</v>
      </c>
      <c r="F167" s="495">
        <v>42208</v>
      </c>
      <c r="G167" s="496">
        <v>253</v>
      </c>
      <c r="H167" s="495">
        <v>42598</v>
      </c>
      <c r="I167" s="496">
        <v>222</v>
      </c>
      <c r="J167" s="495">
        <v>42963</v>
      </c>
      <c r="K167" s="497">
        <v>198.334</v>
      </c>
      <c r="L167" s="495">
        <v>43327</v>
      </c>
      <c r="M167" s="497">
        <v>190.44399999999999</v>
      </c>
      <c r="N167" s="495">
        <v>43692</v>
      </c>
      <c r="O167" s="498">
        <v>194.494</v>
      </c>
      <c r="P167" s="495">
        <v>44057</v>
      </c>
      <c r="Q167" s="498">
        <v>235.03899999999999</v>
      </c>
      <c r="R167" s="495">
        <v>44425</v>
      </c>
      <c r="S167" s="498">
        <v>280.26600000000002</v>
      </c>
      <c r="T167" s="495">
        <v>44790</v>
      </c>
      <c r="U167" s="498">
        <v>391.44099999999997</v>
      </c>
      <c r="V167" s="495"/>
      <c r="W167" s="498"/>
    </row>
    <row r="168" spans="2:23">
      <c r="B168" s="495">
        <v>41502</v>
      </c>
      <c r="C168" s="496">
        <v>180</v>
      </c>
      <c r="D168" s="495">
        <v>41869</v>
      </c>
      <c r="E168" s="496">
        <v>152</v>
      </c>
      <c r="F168" s="495">
        <v>42209</v>
      </c>
      <c r="G168" s="496">
        <v>255</v>
      </c>
      <c r="H168" s="495">
        <v>42599</v>
      </c>
      <c r="I168" s="496">
        <v>224</v>
      </c>
      <c r="J168" s="495">
        <v>42964</v>
      </c>
      <c r="K168" s="497">
        <v>199.435</v>
      </c>
      <c r="L168" s="495">
        <v>43328</v>
      </c>
      <c r="M168" s="497">
        <v>186.74799999999999</v>
      </c>
      <c r="N168" s="495">
        <v>43693</v>
      </c>
      <c r="O168" s="498">
        <v>191.98500000000001</v>
      </c>
      <c r="P168" s="495">
        <v>44060</v>
      </c>
      <c r="Q168" s="498">
        <v>238.05600000000001</v>
      </c>
      <c r="R168" s="495">
        <v>44426</v>
      </c>
      <c r="S168" s="498">
        <v>280.25799999999998</v>
      </c>
      <c r="T168" s="495">
        <v>44791</v>
      </c>
      <c r="U168" s="498">
        <v>393.858</v>
      </c>
      <c r="V168" s="495"/>
      <c r="W168" s="498"/>
    </row>
    <row r="169" spans="2:23">
      <c r="B169" s="495">
        <v>41505</v>
      </c>
      <c r="C169" s="496">
        <v>188</v>
      </c>
      <c r="D169" s="495">
        <v>41870</v>
      </c>
      <c r="E169" s="496">
        <v>148</v>
      </c>
      <c r="F169" s="495">
        <v>42212</v>
      </c>
      <c r="G169" s="496">
        <v>264</v>
      </c>
      <c r="H169" s="495">
        <v>42600</v>
      </c>
      <c r="I169" s="496">
        <v>222</v>
      </c>
      <c r="J169" s="495">
        <v>42965</v>
      </c>
      <c r="K169" s="497">
        <v>204.07300000000001</v>
      </c>
      <c r="L169" s="495">
        <v>43329</v>
      </c>
      <c r="M169" s="497">
        <v>182.625</v>
      </c>
      <c r="N169" s="495">
        <v>43696</v>
      </c>
      <c r="O169" s="498">
        <v>187.661</v>
      </c>
      <c r="P169" s="495">
        <v>44061</v>
      </c>
      <c r="Q169" s="498">
        <v>241.286</v>
      </c>
      <c r="R169" s="495">
        <v>44427</v>
      </c>
      <c r="S169" s="498">
        <v>285.35300000000001</v>
      </c>
      <c r="T169" s="495">
        <v>44792</v>
      </c>
      <c r="U169" s="498">
        <v>401.12299999999999</v>
      </c>
      <c r="V169" s="495"/>
      <c r="W169" s="498"/>
    </row>
    <row r="170" spans="2:23">
      <c r="B170" s="495">
        <v>41506</v>
      </c>
      <c r="C170" s="496">
        <v>190</v>
      </c>
      <c r="D170" s="495">
        <v>41871</v>
      </c>
      <c r="E170" s="496">
        <v>145</v>
      </c>
      <c r="F170" s="495">
        <v>42213</v>
      </c>
      <c r="G170" s="496">
        <v>260</v>
      </c>
      <c r="H170" s="495">
        <v>42601</v>
      </c>
      <c r="I170" s="496">
        <v>222</v>
      </c>
      <c r="J170" s="495">
        <v>42968</v>
      </c>
      <c r="K170" s="497">
        <v>203.10300000000001</v>
      </c>
      <c r="L170" s="495">
        <v>43332</v>
      </c>
      <c r="M170" s="497">
        <v>183.33199999999999</v>
      </c>
      <c r="N170" s="495">
        <v>43697</v>
      </c>
      <c r="O170" s="498">
        <v>191.41399999999999</v>
      </c>
      <c r="P170" s="495">
        <v>44062</v>
      </c>
      <c r="Q170" s="498">
        <v>242.62</v>
      </c>
      <c r="R170" s="495">
        <v>44428</v>
      </c>
      <c r="S170" s="498">
        <v>285.608</v>
      </c>
      <c r="T170" s="495">
        <v>44795</v>
      </c>
      <c r="U170" s="498">
        <v>411.61700000000002</v>
      </c>
      <c r="V170" s="495"/>
      <c r="W170" s="498"/>
    </row>
    <row r="171" spans="2:23">
      <c r="B171" s="495">
        <v>41507</v>
      </c>
      <c r="C171" s="496">
        <v>194</v>
      </c>
      <c r="D171" s="495">
        <v>41872</v>
      </c>
      <c r="E171" s="496">
        <v>146</v>
      </c>
      <c r="F171" s="495">
        <v>42214</v>
      </c>
      <c r="G171" s="496">
        <v>250</v>
      </c>
      <c r="H171" s="495">
        <v>42604</v>
      </c>
      <c r="I171" s="496">
        <v>228</v>
      </c>
      <c r="J171" s="495">
        <v>42969</v>
      </c>
      <c r="K171" s="497">
        <v>203.251</v>
      </c>
      <c r="L171" s="495">
        <v>43333</v>
      </c>
      <c r="M171" s="497">
        <v>182.16300000000001</v>
      </c>
      <c r="N171" s="495">
        <v>43698</v>
      </c>
      <c r="O171" s="498">
        <v>187.54599999999999</v>
      </c>
      <c r="P171" s="495">
        <v>44063</v>
      </c>
      <c r="Q171" s="498">
        <v>248.69800000000001</v>
      </c>
      <c r="R171" s="495">
        <v>44431</v>
      </c>
      <c r="S171" s="498">
        <v>285.51100000000002</v>
      </c>
      <c r="T171" s="495">
        <v>44796</v>
      </c>
      <c r="U171" s="498">
        <v>408.26499999999999</v>
      </c>
      <c r="V171" s="495"/>
      <c r="W171" s="498"/>
    </row>
    <row r="172" spans="2:23">
      <c r="B172" s="495">
        <v>41508</v>
      </c>
      <c r="C172" s="496">
        <v>190</v>
      </c>
      <c r="D172" s="495">
        <v>41873</v>
      </c>
      <c r="E172" s="496">
        <v>147</v>
      </c>
      <c r="F172" s="495">
        <v>42215</v>
      </c>
      <c r="G172" s="496">
        <v>243</v>
      </c>
      <c r="H172" s="495">
        <v>42605</v>
      </c>
      <c r="I172" s="496">
        <v>226</v>
      </c>
      <c r="J172" s="495">
        <v>42970</v>
      </c>
      <c r="K172" s="497">
        <v>201.62799999999999</v>
      </c>
      <c r="L172" s="495">
        <v>43334</v>
      </c>
      <c r="M172" s="497">
        <v>181.69200000000001</v>
      </c>
      <c r="N172" s="495">
        <v>43699</v>
      </c>
      <c r="O172" s="498">
        <v>183.45400000000001</v>
      </c>
      <c r="P172" s="495" t="s">
        <v>642</v>
      </c>
      <c r="Q172" s="498">
        <v>248.083</v>
      </c>
      <c r="R172" s="495">
        <v>44432</v>
      </c>
      <c r="S172" s="498">
        <v>281.43700000000001</v>
      </c>
      <c r="T172" s="495">
        <v>44797</v>
      </c>
      <c r="U172" s="498">
        <v>399.62400000000002</v>
      </c>
      <c r="V172" s="495"/>
      <c r="W172" s="498"/>
    </row>
    <row r="173" spans="2:23">
      <c r="B173" s="495">
        <v>41509</v>
      </c>
      <c r="C173" s="496">
        <v>192</v>
      </c>
      <c r="D173" s="495">
        <v>41876</v>
      </c>
      <c r="E173" s="496">
        <v>146</v>
      </c>
      <c r="F173" s="495">
        <v>42216</v>
      </c>
      <c r="G173" s="496">
        <v>246</v>
      </c>
      <c r="H173" s="495">
        <v>42606</v>
      </c>
      <c r="I173" s="496">
        <v>231</v>
      </c>
      <c r="J173" s="495">
        <v>42971</v>
      </c>
      <c r="K173" s="497">
        <v>204.00700000000001</v>
      </c>
      <c r="L173" s="495">
        <v>43335</v>
      </c>
      <c r="M173" s="497">
        <v>181.48099999999999</v>
      </c>
      <c r="N173" s="495">
        <v>43700</v>
      </c>
      <c r="O173" s="498">
        <v>189.39400000000001</v>
      </c>
      <c r="P173" s="495" t="s">
        <v>643</v>
      </c>
      <c r="Q173" s="498">
        <v>245.30600000000001</v>
      </c>
      <c r="R173" s="495">
        <v>44433</v>
      </c>
      <c r="S173" s="498">
        <v>272.68200000000002</v>
      </c>
      <c r="T173" s="495">
        <v>44798</v>
      </c>
      <c r="U173" s="498">
        <v>398.76100000000002</v>
      </c>
      <c r="V173" s="495"/>
      <c r="W173" s="498"/>
    </row>
    <row r="174" spans="2:23">
      <c r="B174" s="495">
        <v>41512</v>
      </c>
      <c r="C174" s="496">
        <v>191</v>
      </c>
      <c r="D174" s="495">
        <v>41877</v>
      </c>
      <c r="E174" s="496">
        <v>147</v>
      </c>
      <c r="F174" s="495">
        <v>42219</v>
      </c>
      <c r="G174" s="496">
        <v>255</v>
      </c>
      <c r="H174" s="495">
        <v>42607</v>
      </c>
      <c r="I174" s="496">
        <v>233</v>
      </c>
      <c r="J174" s="495">
        <v>42972</v>
      </c>
      <c r="K174" s="497">
        <v>199.16800000000001</v>
      </c>
      <c r="L174" s="495">
        <v>43336</v>
      </c>
      <c r="M174" s="497">
        <v>181.40100000000001</v>
      </c>
      <c r="N174" s="495">
        <v>43703</v>
      </c>
      <c r="O174" s="498">
        <v>187.60900000000001</v>
      </c>
      <c r="P174" s="495" t="s">
        <v>644</v>
      </c>
      <c r="Q174" s="498">
        <v>252.779</v>
      </c>
      <c r="R174" s="495">
        <v>44434</v>
      </c>
      <c r="S174" s="498">
        <v>272.61500000000001</v>
      </c>
      <c r="T174" s="495">
        <v>44799</v>
      </c>
      <c r="U174" s="498">
        <v>402.89100000000002</v>
      </c>
      <c r="V174" s="495"/>
      <c r="W174" s="498"/>
    </row>
    <row r="175" spans="2:23">
      <c r="B175" s="495">
        <v>41513</v>
      </c>
      <c r="C175" s="496">
        <v>198</v>
      </c>
      <c r="D175" s="495">
        <v>41878</v>
      </c>
      <c r="E175" s="496">
        <v>145</v>
      </c>
      <c r="F175" s="495">
        <v>42220</v>
      </c>
      <c r="G175" s="496">
        <v>252</v>
      </c>
      <c r="H175" s="495">
        <v>42608</v>
      </c>
      <c r="I175" s="496">
        <v>226</v>
      </c>
      <c r="J175" s="495">
        <v>42975</v>
      </c>
      <c r="K175" s="497">
        <v>199.16800000000001</v>
      </c>
      <c r="L175" s="495">
        <v>43339</v>
      </c>
      <c r="M175" s="497">
        <v>178.547</v>
      </c>
      <c r="N175" s="495">
        <v>43704</v>
      </c>
      <c r="O175" s="498">
        <v>189.56899999999999</v>
      </c>
      <c r="P175" s="495" t="s">
        <v>645</v>
      </c>
      <c r="Q175" s="498">
        <v>254.553</v>
      </c>
      <c r="R175" s="495">
        <v>44435</v>
      </c>
      <c r="S175" s="498">
        <v>270.79599999999999</v>
      </c>
      <c r="T175" s="495">
        <v>44802</v>
      </c>
      <c r="U175" s="498">
        <v>416.38099999999997</v>
      </c>
      <c r="V175" s="495"/>
      <c r="W175" s="498"/>
    </row>
    <row r="176" spans="2:23">
      <c r="B176" s="495">
        <v>41514</v>
      </c>
      <c r="C176" s="496">
        <v>197</v>
      </c>
      <c r="D176" s="495">
        <v>41879</v>
      </c>
      <c r="E176" s="496">
        <v>147</v>
      </c>
      <c r="F176" s="495">
        <v>42221</v>
      </c>
      <c r="G176" s="496">
        <v>245</v>
      </c>
      <c r="H176" s="495">
        <v>42611</v>
      </c>
      <c r="I176" s="496">
        <v>230</v>
      </c>
      <c r="J176" s="495">
        <v>42976</v>
      </c>
      <c r="K176" s="497">
        <v>199.91499999999999</v>
      </c>
      <c r="L176" s="495">
        <v>43340</v>
      </c>
      <c r="M176" s="497">
        <v>173.96100000000001</v>
      </c>
      <c r="N176" s="495">
        <v>43705</v>
      </c>
      <c r="O176" s="498">
        <v>184.68799999999999</v>
      </c>
      <c r="P176" s="495" t="s">
        <v>646</v>
      </c>
      <c r="Q176" s="498">
        <v>254.72399999999999</v>
      </c>
      <c r="R176" s="495">
        <v>44438</v>
      </c>
      <c r="S176" s="498">
        <v>268.95499999999998</v>
      </c>
      <c r="T176" s="495">
        <v>44803</v>
      </c>
      <c r="U176" s="498">
        <v>421.00400000000002</v>
      </c>
      <c r="V176" s="495"/>
      <c r="W176" s="498"/>
    </row>
    <row r="177" spans="2:23">
      <c r="B177" s="495">
        <v>41515</v>
      </c>
      <c r="C177" s="496">
        <v>202</v>
      </c>
      <c r="D177" s="495">
        <v>41880</v>
      </c>
      <c r="E177" s="496">
        <v>146</v>
      </c>
      <c r="F177" s="495">
        <v>42222</v>
      </c>
      <c r="G177" s="496">
        <v>256</v>
      </c>
      <c r="H177" s="495">
        <v>42612</v>
      </c>
      <c r="I177" s="496">
        <v>230</v>
      </c>
      <c r="J177" s="495">
        <v>42977</v>
      </c>
      <c r="K177" s="497">
        <v>199.66300000000001</v>
      </c>
      <c r="L177" s="495">
        <v>43341</v>
      </c>
      <c r="M177" s="497">
        <v>175.137</v>
      </c>
      <c r="N177" s="495">
        <v>43706</v>
      </c>
      <c r="O177" s="498">
        <v>178.637</v>
      </c>
      <c r="P177" s="495" t="s">
        <v>647</v>
      </c>
      <c r="Q177" s="498">
        <v>249.49199999999999</v>
      </c>
      <c r="R177" s="495">
        <v>44439</v>
      </c>
      <c r="S177" s="498">
        <v>272.39</v>
      </c>
      <c r="T177" s="495">
        <v>44804</v>
      </c>
      <c r="U177" s="498">
        <v>424.46199999999999</v>
      </c>
      <c r="V177" s="495"/>
      <c r="W177" s="498"/>
    </row>
    <row r="178" spans="2:23">
      <c r="B178" s="495">
        <v>41516</v>
      </c>
      <c r="C178" s="496">
        <v>198</v>
      </c>
      <c r="D178" s="495">
        <v>41884</v>
      </c>
      <c r="E178" s="496">
        <v>144</v>
      </c>
      <c r="F178" s="495">
        <v>42223</v>
      </c>
      <c r="G178" s="496">
        <v>260</v>
      </c>
      <c r="H178" s="495">
        <v>42613</v>
      </c>
      <c r="I178" s="496">
        <v>235</v>
      </c>
      <c r="J178" s="495">
        <v>42978</v>
      </c>
      <c r="K178" s="497">
        <v>201.256</v>
      </c>
      <c r="L178" s="495">
        <v>43342</v>
      </c>
      <c r="M178" s="497">
        <v>180.066</v>
      </c>
      <c r="N178" s="495">
        <v>43707</v>
      </c>
      <c r="O178" s="498">
        <v>178.624</v>
      </c>
      <c r="P178" s="495" t="s">
        <v>648</v>
      </c>
      <c r="Q178" s="498">
        <v>249.83099999999999</v>
      </c>
      <c r="R178" s="495">
        <v>44440</v>
      </c>
      <c r="S178" s="498">
        <v>271.26499999999999</v>
      </c>
      <c r="T178" s="495">
        <v>44805</v>
      </c>
      <c r="U178" s="498">
        <v>425.10700000000003</v>
      </c>
      <c r="V178" s="495"/>
      <c r="W178" s="498"/>
    </row>
    <row r="179" spans="2:23">
      <c r="B179" s="495">
        <v>41520</v>
      </c>
      <c r="C179" s="496">
        <v>194</v>
      </c>
      <c r="D179" s="495">
        <v>41885</v>
      </c>
      <c r="E179" s="496">
        <v>143</v>
      </c>
      <c r="F179" s="495">
        <v>42226</v>
      </c>
      <c r="G179" s="496">
        <v>259</v>
      </c>
      <c r="H179" s="495">
        <v>42614</v>
      </c>
      <c r="I179" s="496">
        <v>240</v>
      </c>
      <c r="J179" s="495">
        <v>42979</v>
      </c>
      <c r="K179" s="497">
        <v>198.946</v>
      </c>
      <c r="L179" s="495">
        <v>43343</v>
      </c>
      <c r="M179" s="497">
        <v>183.863</v>
      </c>
      <c r="N179" s="495">
        <v>43711</v>
      </c>
      <c r="O179" s="498">
        <v>179.31100000000001</v>
      </c>
      <c r="P179" s="495">
        <v>44075</v>
      </c>
      <c r="Q179" s="498">
        <v>243.446</v>
      </c>
      <c r="R179" s="495">
        <v>44441</v>
      </c>
      <c r="S179" s="498">
        <v>270.51100000000002</v>
      </c>
      <c r="T179" s="495">
        <v>44806</v>
      </c>
      <c r="U179" s="498">
        <v>429.4</v>
      </c>
      <c r="V179" s="495"/>
      <c r="W179" s="498"/>
    </row>
    <row r="180" spans="2:23">
      <c r="B180" s="495">
        <v>41521</v>
      </c>
      <c r="C180" s="496">
        <v>196</v>
      </c>
      <c r="D180" s="495">
        <v>41886</v>
      </c>
      <c r="E180" s="496">
        <v>143</v>
      </c>
      <c r="F180" s="495">
        <v>42227</v>
      </c>
      <c r="G180" s="496">
        <v>272</v>
      </c>
      <c r="H180" s="495">
        <v>42615</v>
      </c>
      <c r="I180" s="496">
        <v>236</v>
      </c>
      <c r="J180" s="495">
        <v>42983</v>
      </c>
      <c r="K180" s="497">
        <v>194.96299999999999</v>
      </c>
      <c r="L180" s="495">
        <v>43347</v>
      </c>
      <c r="M180" s="497">
        <v>183.63200000000001</v>
      </c>
      <c r="N180" s="495">
        <v>43712</v>
      </c>
      <c r="O180" s="498">
        <v>177.37100000000001</v>
      </c>
      <c r="P180" s="495">
        <v>44076</v>
      </c>
      <c r="Q180" s="498">
        <v>240.71</v>
      </c>
      <c r="R180" s="495">
        <v>44442</v>
      </c>
      <c r="S180" s="498">
        <v>270.13099999999997</v>
      </c>
      <c r="T180" s="495">
        <v>44810</v>
      </c>
      <c r="U180" s="498">
        <v>426.82600000000002</v>
      </c>
      <c r="V180" s="495"/>
      <c r="W180" s="498"/>
    </row>
    <row r="181" spans="2:23">
      <c r="B181" s="495">
        <v>41522</v>
      </c>
      <c r="C181" s="496">
        <v>194</v>
      </c>
      <c r="D181" s="495">
        <v>41887</v>
      </c>
      <c r="E181" s="496">
        <v>141</v>
      </c>
      <c r="F181" s="495">
        <v>42228</v>
      </c>
      <c r="G181" s="496">
        <v>266</v>
      </c>
      <c r="H181" s="495">
        <v>42619</v>
      </c>
      <c r="I181" s="496">
        <v>231</v>
      </c>
      <c r="J181" s="495">
        <v>42984</v>
      </c>
      <c r="K181" s="497">
        <v>191.32300000000001</v>
      </c>
      <c r="L181" s="495">
        <v>43348</v>
      </c>
      <c r="M181" s="497">
        <v>181.24700000000001</v>
      </c>
      <c r="N181" s="495">
        <v>43713</v>
      </c>
      <c r="O181" s="498">
        <v>171.28100000000001</v>
      </c>
      <c r="P181" s="495">
        <v>44077</v>
      </c>
      <c r="Q181" s="498">
        <v>248.517</v>
      </c>
      <c r="R181" s="495">
        <v>44446</v>
      </c>
      <c r="S181" s="498">
        <v>269.47199999999998</v>
      </c>
      <c r="T181" s="495">
        <v>44811</v>
      </c>
      <c r="U181" s="498">
        <v>424.30599999999998</v>
      </c>
      <c r="V181" s="495"/>
      <c r="W181" s="498"/>
    </row>
    <row r="182" spans="2:23">
      <c r="B182" s="495">
        <v>41523</v>
      </c>
      <c r="C182" s="496">
        <v>189</v>
      </c>
      <c r="D182" s="495">
        <v>41890</v>
      </c>
      <c r="E182" s="496">
        <v>143</v>
      </c>
      <c r="F182" s="495">
        <v>42229</v>
      </c>
      <c r="G182" s="496">
        <v>262</v>
      </c>
      <c r="H182" s="495">
        <v>42620</v>
      </c>
      <c r="I182" s="496">
        <v>226</v>
      </c>
      <c r="J182" s="495">
        <v>42985</v>
      </c>
      <c r="K182" s="497">
        <v>194.499</v>
      </c>
      <c r="L182" s="495">
        <v>43349</v>
      </c>
      <c r="M182" s="497">
        <v>182.90799999999999</v>
      </c>
      <c r="N182" s="495">
        <v>43714</v>
      </c>
      <c r="O182" s="498">
        <v>176.25399999999999</v>
      </c>
      <c r="P182" s="495">
        <v>44078</v>
      </c>
      <c r="Q182" s="498">
        <v>244.38399999999999</v>
      </c>
      <c r="R182" s="495">
        <v>44447</v>
      </c>
      <c r="S182" s="498">
        <v>272.214</v>
      </c>
      <c r="T182" s="495">
        <v>44812</v>
      </c>
      <c r="U182" s="498">
        <v>411.41</v>
      </c>
      <c r="V182" s="495"/>
      <c r="W182" s="498"/>
    </row>
    <row r="183" spans="2:23">
      <c r="B183" s="495">
        <v>41526</v>
      </c>
      <c r="C183" s="496">
        <v>183</v>
      </c>
      <c r="D183" s="495">
        <v>41891</v>
      </c>
      <c r="E183" s="496">
        <v>151</v>
      </c>
      <c r="F183" s="495">
        <v>42230</v>
      </c>
      <c r="G183" s="496">
        <v>263</v>
      </c>
      <c r="H183" s="495">
        <v>42621</v>
      </c>
      <c r="I183" s="496">
        <v>220</v>
      </c>
      <c r="J183" s="495">
        <v>42986</v>
      </c>
      <c r="K183" s="497">
        <v>193.678</v>
      </c>
      <c r="L183" s="495">
        <v>43350</v>
      </c>
      <c r="M183" s="497">
        <v>181.703</v>
      </c>
      <c r="N183" s="495">
        <v>43717</v>
      </c>
      <c r="O183" s="498">
        <v>173.779</v>
      </c>
      <c r="P183" s="495">
        <v>44082</v>
      </c>
      <c r="Q183" s="498">
        <v>250.44399999999999</v>
      </c>
      <c r="R183" s="495">
        <v>44448</v>
      </c>
      <c r="S183" s="498">
        <v>274.46699999999998</v>
      </c>
      <c r="T183" s="495">
        <v>44813</v>
      </c>
      <c r="U183" s="498">
        <v>400.32100000000003</v>
      </c>
      <c r="V183" s="495"/>
      <c r="W183" s="498"/>
    </row>
    <row r="184" spans="2:23">
      <c r="B184" s="495">
        <v>41527</v>
      </c>
      <c r="C184" s="496">
        <v>193</v>
      </c>
      <c r="D184" s="495">
        <v>41892</v>
      </c>
      <c r="E184" s="496">
        <v>151</v>
      </c>
      <c r="F184" s="495">
        <v>42233</v>
      </c>
      <c r="G184" s="496">
        <v>266</v>
      </c>
      <c r="H184" s="495">
        <v>42622</v>
      </c>
      <c r="I184" s="496">
        <v>230</v>
      </c>
      <c r="J184" s="495">
        <v>42989</v>
      </c>
      <c r="K184" s="497">
        <v>192.78200000000001</v>
      </c>
      <c r="L184" s="495">
        <v>43353</v>
      </c>
      <c r="M184" s="497">
        <v>185.386</v>
      </c>
      <c r="N184" s="495">
        <v>43718</v>
      </c>
      <c r="O184" s="498">
        <v>174.36199999999999</v>
      </c>
      <c r="P184" s="495">
        <v>44083</v>
      </c>
      <c r="Q184" s="498">
        <v>245.76</v>
      </c>
      <c r="R184" s="495">
        <v>44449</v>
      </c>
      <c r="S184" s="498">
        <v>272.80399999999997</v>
      </c>
      <c r="T184" s="495">
        <v>44816</v>
      </c>
      <c r="U184" s="498">
        <v>378.48</v>
      </c>
      <c r="V184" s="495"/>
      <c r="W184" s="498"/>
    </row>
    <row r="185" spans="2:23">
      <c r="B185" s="495">
        <v>41528</v>
      </c>
      <c r="C185" s="496">
        <v>187</v>
      </c>
      <c r="D185" s="495">
        <v>41893</v>
      </c>
      <c r="E185" s="496">
        <v>150</v>
      </c>
      <c r="F185" s="495">
        <v>42234</v>
      </c>
      <c r="G185" s="496">
        <v>265</v>
      </c>
      <c r="H185" s="495">
        <v>42625</v>
      </c>
      <c r="I185" s="496">
        <v>230</v>
      </c>
      <c r="J185" s="495">
        <v>42990</v>
      </c>
      <c r="K185" s="497">
        <v>192.15299999999999</v>
      </c>
      <c r="L185" s="495">
        <v>43354</v>
      </c>
      <c r="M185" s="497">
        <v>184.67400000000001</v>
      </c>
      <c r="N185" s="495">
        <v>43719</v>
      </c>
      <c r="O185" s="498">
        <v>171.982</v>
      </c>
      <c r="P185" s="495">
        <v>44084</v>
      </c>
      <c r="Q185" s="498">
        <v>248.61500000000001</v>
      </c>
      <c r="R185" s="495">
        <v>44452</v>
      </c>
      <c r="S185" s="498">
        <v>277.62700000000001</v>
      </c>
      <c r="T185" s="495">
        <v>44817</v>
      </c>
      <c r="U185" s="498">
        <v>391.17399999999998</v>
      </c>
      <c r="V185" s="495"/>
      <c r="W185" s="498"/>
    </row>
    <row r="186" spans="2:23">
      <c r="B186" s="495">
        <v>41529</v>
      </c>
      <c r="C186" s="496">
        <v>188</v>
      </c>
      <c r="D186" s="495">
        <v>41894</v>
      </c>
      <c r="E186" s="496">
        <v>151</v>
      </c>
      <c r="F186" s="495">
        <v>42235</v>
      </c>
      <c r="G186" s="496">
        <v>278</v>
      </c>
      <c r="H186" s="495">
        <v>42626</v>
      </c>
      <c r="I186" s="496">
        <v>237</v>
      </c>
      <c r="J186" s="495">
        <v>42991</v>
      </c>
      <c r="K186" s="497">
        <v>187.66</v>
      </c>
      <c r="L186" s="495">
        <v>43355</v>
      </c>
      <c r="M186" s="497">
        <v>183.209</v>
      </c>
      <c r="N186" s="495">
        <v>43720</v>
      </c>
      <c r="O186" s="498">
        <v>168.33199999999999</v>
      </c>
      <c r="P186" s="495">
        <v>44085</v>
      </c>
      <c r="Q186" s="498">
        <v>251.41900000000001</v>
      </c>
      <c r="R186" s="495">
        <v>44453</v>
      </c>
      <c r="S186" s="498">
        <v>280.887</v>
      </c>
      <c r="T186" s="495">
        <v>44818</v>
      </c>
      <c r="U186" s="498">
        <v>399.03</v>
      </c>
      <c r="V186" s="495"/>
      <c r="W186" s="498"/>
    </row>
    <row r="187" spans="2:23">
      <c r="B187" s="495">
        <v>41530</v>
      </c>
      <c r="C187" s="496">
        <v>185</v>
      </c>
      <c r="D187" s="495">
        <v>41897</v>
      </c>
      <c r="E187" s="496">
        <v>155</v>
      </c>
      <c r="F187" s="495">
        <v>42236</v>
      </c>
      <c r="G187" s="496">
        <v>284</v>
      </c>
      <c r="H187" s="495">
        <v>42627</v>
      </c>
      <c r="I187" s="496">
        <v>246</v>
      </c>
      <c r="J187" s="495">
        <v>42992</v>
      </c>
      <c r="K187" s="497">
        <v>187.44399999999999</v>
      </c>
      <c r="L187" s="495">
        <v>43356</v>
      </c>
      <c r="M187" s="497">
        <v>177.22900000000001</v>
      </c>
      <c r="N187" s="495">
        <v>43721</v>
      </c>
      <c r="O187" s="498">
        <v>170.06800000000001</v>
      </c>
      <c r="P187" s="495">
        <v>44088</v>
      </c>
      <c r="Q187" s="498">
        <v>251.22</v>
      </c>
      <c r="R187" s="495">
        <v>44454</v>
      </c>
      <c r="S187" s="498">
        <v>277.17500000000001</v>
      </c>
      <c r="T187" s="495">
        <v>44819</v>
      </c>
      <c r="U187" s="498">
        <v>396.53699999999998</v>
      </c>
      <c r="V187" s="495"/>
      <c r="W187" s="498"/>
    </row>
    <row r="188" spans="2:23">
      <c r="B188" s="495">
        <v>41533</v>
      </c>
      <c r="C188" s="496">
        <v>175</v>
      </c>
      <c r="D188" s="495">
        <v>41898</v>
      </c>
      <c r="E188" s="496">
        <v>156</v>
      </c>
      <c r="F188" s="495">
        <v>42237</v>
      </c>
      <c r="G188" s="496">
        <v>293</v>
      </c>
      <c r="H188" s="495">
        <v>42628</v>
      </c>
      <c r="I188" s="496">
        <v>246</v>
      </c>
      <c r="J188" s="495">
        <v>42993</v>
      </c>
      <c r="K188" s="497">
        <v>183.99199999999999</v>
      </c>
      <c r="L188" s="495">
        <v>43357</v>
      </c>
      <c r="M188" s="497">
        <v>174.096</v>
      </c>
      <c r="N188" s="495">
        <v>43724</v>
      </c>
      <c r="O188" s="498">
        <v>175.31100000000001</v>
      </c>
      <c r="P188" s="495">
        <v>44089</v>
      </c>
      <c r="Q188" s="498">
        <v>244.886</v>
      </c>
      <c r="R188" s="495">
        <v>44455</v>
      </c>
      <c r="S188" s="498">
        <v>278.78500000000003</v>
      </c>
      <c r="T188" s="495">
        <v>44820</v>
      </c>
      <c r="U188" s="498">
        <v>413.38</v>
      </c>
      <c r="V188" s="495"/>
      <c r="W188" s="498"/>
    </row>
    <row r="189" spans="2:23">
      <c r="B189" s="495">
        <v>41534</v>
      </c>
      <c r="C189" s="496">
        <v>169</v>
      </c>
      <c r="D189" s="495">
        <v>41899</v>
      </c>
      <c r="E189" s="496">
        <v>150</v>
      </c>
      <c r="F189" s="495">
        <v>42240</v>
      </c>
      <c r="G189" s="496">
        <v>307</v>
      </c>
      <c r="H189" s="495">
        <v>42629</v>
      </c>
      <c r="I189" s="496">
        <v>256</v>
      </c>
      <c r="J189" s="495">
        <v>42996</v>
      </c>
      <c r="K189" s="497">
        <v>185.43</v>
      </c>
      <c r="L189" s="495">
        <v>43360</v>
      </c>
      <c r="M189" s="497">
        <v>175.99600000000001</v>
      </c>
      <c r="N189" s="495">
        <v>43725</v>
      </c>
      <c r="O189" s="498">
        <v>175.89599999999999</v>
      </c>
      <c r="P189" s="495">
        <v>44090</v>
      </c>
      <c r="Q189" s="498">
        <v>242.37200000000001</v>
      </c>
      <c r="R189" s="495">
        <v>44456</v>
      </c>
      <c r="S189" s="498">
        <v>278.80399999999997</v>
      </c>
      <c r="T189" s="495">
        <v>44823</v>
      </c>
      <c r="U189" s="498">
        <v>413.57499999999999</v>
      </c>
      <c r="V189" s="495"/>
      <c r="W189" s="498"/>
    </row>
    <row r="190" spans="2:23">
      <c r="B190" s="495">
        <v>41535</v>
      </c>
      <c r="C190" s="496">
        <v>155</v>
      </c>
      <c r="D190" s="495">
        <v>41900</v>
      </c>
      <c r="E190" s="496">
        <v>151</v>
      </c>
      <c r="F190" s="495">
        <v>42241</v>
      </c>
      <c r="G190" s="496">
        <v>296</v>
      </c>
      <c r="H190" s="495">
        <v>42632</v>
      </c>
      <c r="I190" s="496">
        <v>250</v>
      </c>
      <c r="J190" s="495">
        <v>42997</v>
      </c>
      <c r="K190" s="497">
        <v>185.97800000000001</v>
      </c>
      <c r="L190" s="495">
        <v>43361</v>
      </c>
      <c r="M190" s="497">
        <v>174.864</v>
      </c>
      <c r="N190" s="495">
        <v>43726</v>
      </c>
      <c r="O190" s="498">
        <v>174.233</v>
      </c>
      <c r="P190" s="495">
        <v>44091</v>
      </c>
      <c r="Q190" s="498">
        <v>245.99600000000001</v>
      </c>
      <c r="R190" s="495">
        <v>44459</v>
      </c>
      <c r="S190" s="498">
        <v>291.18799999999999</v>
      </c>
      <c r="T190" s="495">
        <v>44824</v>
      </c>
      <c r="U190" s="498">
        <v>421.38799999999998</v>
      </c>
      <c r="V190" s="495"/>
      <c r="W190" s="498"/>
    </row>
    <row r="191" spans="2:23">
      <c r="B191" s="495">
        <v>41536</v>
      </c>
      <c r="C191" s="496">
        <v>161</v>
      </c>
      <c r="D191" s="495">
        <v>41901</v>
      </c>
      <c r="E191" s="496">
        <v>150</v>
      </c>
      <c r="F191" s="495">
        <v>42242</v>
      </c>
      <c r="G191" s="496">
        <v>298</v>
      </c>
      <c r="H191" s="495">
        <v>42633</v>
      </c>
      <c r="I191" s="496">
        <v>246</v>
      </c>
      <c r="J191" s="495">
        <v>42998</v>
      </c>
      <c r="K191" s="497">
        <v>185.214</v>
      </c>
      <c r="L191" s="495">
        <v>43362</v>
      </c>
      <c r="M191" s="497">
        <v>172.35499999999999</v>
      </c>
      <c r="N191" s="495">
        <v>43727</v>
      </c>
      <c r="O191" s="498">
        <v>172.488</v>
      </c>
      <c r="P191" s="495">
        <v>44092</v>
      </c>
      <c r="Q191" s="498">
        <v>247.89</v>
      </c>
      <c r="R191" s="495">
        <v>44460</v>
      </c>
      <c r="S191" s="498">
        <v>288.25599999999997</v>
      </c>
      <c r="T191" s="495">
        <v>44825</v>
      </c>
      <c r="U191" s="498">
        <v>417.113</v>
      </c>
      <c r="V191" s="495"/>
      <c r="W191" s="498"/>
    </row>
    <row r="192" spans="2:23">
      <c r="B192" s="495">
        <v>41537</v>
      </c>
      <c r="C192" s="496">
        <v>166</v>
      </c>
      <c r="D192" s="495">
        <v>41904</v>
      </c>
      <c r="E192" s="496">
        <v>153</v>
      </c>
      <c r="F192" s="495">
        <v>42243</v>
      </c>
      <c r="G192" s="496">
        <v>285</v>
      </c>
      <c r="H192" s="495">
        <v>42634</v>
      </c>
      <c r="I192" s="496">
        <v>229</v>
      </c>
      <c r="J192" s="495">
        <v>42999</v>
      </c>
      <c r="K192" s="497">
        <v>186.167</v>
      </c>
      <c r="L192" s="495">
        <v>43363</v>
      </c>
      <c r="M192" s="497">
        <v>173.358</v>
      </c>
      <c r="N192" s="495">
        <v>43728</v>
      </c>
      <c r="O192" s="498">
        <v>174.33699999999999</v>
      </c>
      <c r="P192" s="495">
        <v>44095</v>
      </c>
      <c r="Q192" s="498">
        <v>257.91899999999998</v>
      </c>
      <c r="R192" s="495">
        <v>44461</v>
      </c>
      <c r="S192" s="498">
        <v>289.78899999999999</v>
      </c>
      <c r="T192" s="495">
        <v>44826</v>
      </c>
      <c r="U192" s="498">
        <v>416.48399999999998</v>
      </c>
      <c r="V192" s="495"/>
      <c r="W192" s="498"/>
    </row>
    <row r="193" spans="2:23">
      <c r="B193" s="495">
        <v>41540</v>
      </c>
      <c r="C193" s="496">
        <v>169</v>
      </c>
      <c r="D193" s="495">
        <v>41905</v>
      </c>
      <c r="E193" s="496">
        <v>154</v>
      </c>
      <c r="F193" s="495">
        <v>42244</v>
      </c>
      <c r="G193" s="496">
        <v>280</v>
      </c>
      <c r="H193" s="495">
        <v>42635</v>
      </c>
      <c r="I193" s="496">
        <v>226</v>
      </c>
      <c r="J193" s="495">
        <v>43000</v>
      </c>
      <c r="K193" s="497">
        <v>188.274</v>
      </c>
      <c r="L193" s="495">
        <v>43364</v>
      </c>
      <c r="M193" s="497">
        <v>172.54300000000001</v>
      </c>
      <c r="N193" s="495">
        <v>43731</v>
      </c>
      <c r="O193" s="498">
        <v>173.06800000000001</v>
      </c>
      <c r="P193" s="495">
        <v>44096</v>
      </c>
      <c r="Q193" s="498">
        <v>260.59800000000001</v>
      </c>
      <c r="R193" s="495">
        <v>44462</v>
      </c>
      <c r="S193" s="498">
        <v>285.52</v>
      </c>
      <c r="T193" s="495">
        <v>44827</v>
      </c>
      <c r="U193" s="498">
        <v>431.68799999999999</v>
      </c>
      <c r="V193" s="495"/>
      <c r="W193" s="498"/>
    </row>
    <row r="194" spans="2:23">
      <c r="B194" s="495">
        <v>41541</v>
      </c>
      <c r="C194" s="496">
        <v>176</v>
      </c>
      <c r="D194" s="495">
        <v>41906</v>
      </c>
      <c r="E194" s="496">
        <v>151</v>
      </c>
      <c r="F194" s="495">
        <v>42247</v>
      </c>
      <c r="G194" s="496">
        <v>274</v>
      </c>
      <c r="H194" s="495">
        <v>42636</v>
      </c>
      <c r="I194" s="496">
        <v>233</v>
      </c>
      <c r="J194" s="495">
        <v>43003</v>
      </c>
      <c r="K194" s="497">
        <v>190.97399999999999</v>
      </c>
      <c r="L194" s="495">
        <v>43367</v>
      </c>
      <c r="M194" s="497">
        <v>171.73099999999999</v>
      </c>
      <c r="N194" s="495">
        <v>43732</v>
      </c>
      <c r="O194" s="498">
        <v>182.102</v>
      </c>
      <c r="P194" s="495">
        <v>44097</v>
      </c>
      <c r="Q194" s="498">
        <v>272.58499999999998</v>
      </c>
      <c r="R194" s="495">
        <v>44463</v>
      </c>
      <c r="S194" s="498">
        <v>289.339</v>
      </c>
      <c r="T194" s="495">
        <v>44830</v>
      </c>
      <c r="U194" s="498">
        <v>450.10199999999998</v>
      </c>
      <c r="V194" s="495"/>
      <c r="W194" s="498"/>
    </row>
    <row r="195" spans="2:23">
      <c r="B195" s="495">
        <v>41542</v>
      </c>
      <c r="C195" s="496">
        <v>177</v>
      </c>
      <c r="D195" s="495">
        <v>41907</v>
      </c>
      <c r="E195" s="496">
        <v>159</v>
      </c>
      <c r="F195" s="495">
        <v>42248</v>
      </c>
      <c r="G195" s="496">
        <v>284</v>
      </c>
      <c r="H195" s="495">
        <v>42639</v>
      </c>
      <c r="I195" s="496">
        <v>239</v>
      </c>
      <c r="J195" s="495">
        <v>43004</v>
      </c>
      <c r="K195" s="497">
        <v>189.11</v>
      </c>
      <c r="L195" s="495">
        <v>43368</v>
      </c>
      <c r="M195" s="497">
        <v>171.53</v>
      </c>
      <c r="N195" s="495">
        <v>43733</v>
      </c>
      <c r="O195" s="498">
        <v>179.51499999999999</v>
      </c>
      <c r="P195" s="495">
        <v>44098</v>
      </c>
      <c r="Q195" s="498">
        <v>273.23</v>
      </c>
      <c r="R195" s="495">
        <v>44466</v>
      </c>
      <c r="S195" s="498">
        <v>293.36099999999999</v>
      </c>
      <c r="T195" s="495">
        <v>44831</v>
      </c>
      <c r="U195" s="498">
        <v>460.41899999999998</v>
      </c>
      <c r="V195" s="495"/>
      <c r="W195" s="498"/>
    </row>
    <row r="196" spans="2:23">
      <c r="B196" s="495">
        <v>41543</v>
      </c>
      <c r="C196" s="496">
        <v>183</v>
      </c>
      <c r="D196" s="495">
        <v>41908</v>
      </c>
      <c r="E196" s="496">
        <v>161</v>
      </c>
      <c r="F196" s="495">
        <v>42249</v>
      </c>
      <c r="G196" s="496">
        <v>283</v>
      </c>
      <c r="H196" s="495">
        <v>42640</v>
      </c>
      <c r="I196" s="496">
        <v>235</v>
      </c>
      <c r="J196" s="495">
        <v>43005</v>
      </c>
      <c r="K196" s="497">
        <v>193.149</v>
      </c>
      <c r="L196" s="495">
        <v>43369</v>
      </c>
      <c r="M196" s="497">
        <v>173.05699999999999</v>
      </c>
      <c r="N196" s="495">
        <v>43734</v>
      </c>
      <c r="O196" s="498">
        <v>180.61500000000001</v>
      </c>
      <c r="P196" s="495">
        <v>44099</v>
      </c>
      <c r="Q196" s="498">
        <v>269.45400000000001</v>
      </c>
      <c r="R196" s="495">
        <v>44467</v>
      </c>
      <c r="S196" s="498">
        <v>298.38600000000002</v>
      </c>
      <c r="T196" s="495">
        <v>44832</v>
      </c>
      <c r="U196" s="498">
        <v>461.12900000000002</v>
      </c>
      <c r="V196" s="495"/>
      <c r="W196" s="498"/>
    </row>
    <row r="197" spans="2:23">
      <c r="B197" s="495">
        <v>41544</v>
      </c>
      <c r="C197" s="496">
        <v>184</v>
      </c>
      <c r="D197" s="495">
        <v>41911</v>
      </c>
      <c r="E197" s="496">
        <v>170</v>
      </c>
      <c r="F197" s="495">
        <v>42250</v>
      </c>
      <c r="G197" s="496">
        <v>286</v>
      </c>
      <c r="H197" s="495">
        <v>42641</v>
      </c>
      <c r="I197" s="496">
        <v>222</v>
      </c>
      <c r="J197" s="495">
        <v>43006</v>
      </c>
      <c r="K197" s="497">
        <v>192.905</v>
      </c>
      <c r="L197" s="495">
        <v>43370</v>
      </c>
      <c r="M197" s="497">
        <v>169.35</v>
      </c>
      <c r="N197" s="495">
        <v>43735</v>
      </c>
      <c r="O197" s="498">
        <v>183.83199999999999</v>
      </c>
      <c r="P197" s="495">
        <v>44102</v>
      </c>
      <c r="Q197" s="498">
        <v>265.178</v>
      </c>
      <c r="R197" s="495">
        <v>44468</v>
      </c>
      <c r="S197" s="498">
        <v>299.14999999999998</v>
      </c>
      <c r="T197" s="495">
        <v>44833</v>
      </c>
      <c r="U197" s="498">
        <v>469.68299999999999</v>
      </c>
      <c r="V197" s="495"/>
      <c r="W197" s="498"/>
    </row>
    <row r="198" spans="2:23">
      <c r="B198" s="495">
        <v>41547</v>
      </c>
      <c r="C198" s="496">
        <v>187</v>
      </c>
      <c r="D198" s="495">
        <v>41912</v>
      </c>
      <c r="E198" s="496">
        <v>169</v>
      </c>
      <c r="F198" s="495">
        <v>42251</v>
      </c>
      <c r="G198" s="496">
        <v>287</v>
      </c>
      <c r="H198" s="495">
        <v>42642</v>
      </c>
      <c r="I198" s="496">
        <v>228</v>
      </c>
      <c r="J198" s="495">
        <v>43007</v>
      </c>
      <c r="K198" s="497">
        <v>190.68</v>
      </c>
      <c r="L198" s="495">
        <v>43371</v>
      </c>
      <c r="M198" s="497">
        <v>167.833</v>
      </c>
      <c r="N198" s="495">
        <v>43738</v>
      </c>
      <c r="O198" s="498">
        <v>182.51400000000001</v>
      </c>
      <c r="P198" s="495">
        <v>44103</v>
      </c>
      <c r="Q198" s="498">
        <v>268.55700000000002</v>
      </c>
      <c r="R198" s="495">
        <v>44469</v>
      </c>
      <c r="S198" s="498">
        <v>301.37099999999998</v>
      </c>
      <c r="T198" s="495">
        <v>44834</v>
      </c>
      <c r="U198" s="498">
        <v>459.71800000000002</v>
      </c>
      <c r="V198" s="495"/>
      <c r="W198" s="498"/>
    </row>
    <row r="199" spans="2:23">
      <c r="B199" s="495">
        <v>41548</v>
      </c>
      <c r="C199" s="496">
        <v>185</v>
      </c>
      <c r="D199" s="495">
        <v>41913</v>
      </c>
      <c r="E199" s="496">
        <v>176</v>
      </c>
      <c r="F199" s="495">
        <v>42255</v>
      </c>
      <c r="G199" s="496">
        <v>281</v>
      </c>
      <c r="H199" s="495">
        <v>42643</v>
      </c>
      <c r="I199" s="496">
        <v>222</v>
      </c>
      <c r="J199" s="495">
        <v>43010</v>
      </c>
      <c r="K199" s="497">
        <v>187.172</v>
      </c>
      <c r="L199" s="495">
        <v>43374</v>
      </c>
      <c r="M199" s="497">
        <v>168.51900000000001</v>
      </c>
      <c r="N199" s="495">
        <v>43739</v>
      </c>
      <c r="O199" s="498">
        <v>185.626</v>
      </c>
      <c r="P199" s="495">
        <v>44104</v>
      </c>
      <c r="Q199" s="498">
        <v>262.45100000000002</v>
      </c>
      <c r="R199" s="495">
        <v>44470</v>
      </c>
      <c r="S199" s="498">
        <v>301.846</v>
      </c>
      <c r="T199" s="495">
        <v>44837</v>
      </c>
      <c r="U199" s="498">
        <v>451.10899999999998</v>
      </c>
      <c r="V199" s="495"/>
      <c r="W199" s="498"/>
    </row>
    <row r="200" spans="2:23">
      <c r="B200" s="495">
        <v>41549</v>
      </c>
      <c r="C200" s="496">
        <v>187</v>
      </c>
      <c r="D200" s="495">
        <v>41914</v>
      </c>
      <c r="E200" s="496">
        <v>169</v>
      </c>
      <c r="F200" s="495">
        <v>42256</v>
      </c>
      <c r="G200" s="496">
        <v>277</v>
      </c>
      <c r="H200" s="495">
        <v>42646</v>
      </c>
      <c r="I200" s="496">
        <v>229</v>
      </c>
      <c r="J200" s="495">
        <v>43011</v>
      </c>
      <c r="K200" s="497">
        <v>184.506</v>
      </c>
      <c r="L200" s="495">
        <v>43375</v>
      </c>
      <c r="M200" s="497">
        <v>169.328</v>
      </c>
      <c r="N200" s="495">
        <v>43740</v>
      </c>
      <c r="O200" s="498">
        <v>191.65299999999999</v>
      </c>
      <c r="P200" s="495">
        <v>44105</v>
      </c>
      <c r="Q200" s="498">
        <v>263.82499999999999</v>
      </c>
      <c r="R200" s="495">
        <v>44473</v>
      </c>
      <c r="S200" s="498">
        <v>301.48899999999998</v>
      </c>
      <c r="T200" s="495">
        <v>44838</v>
      </c>
      <c r="U200" s="498">
        <v>421.58</v>
      </c>
      <c r="V200" s="495"/>
      <c r="W200" s="498"/>
    </row>
    <row r="201" spans="2:23">
      <c r="B201" s="495">
        <v>41550</v>
      </c>
      <c r="C201" s="496">
        <v>185</v>
      </c>
      <c r="D201" s="495">
        <v>41915</v>
      </c>
      <c r="E201" s="496">
        <v>168</v>
      </c>
      <c r="F201" s="495">
        <v>42257</v>
      </c>
      <c r="G201" s="496">
        <v>278</v>
      </c>
      <c r="H201" s="495">
        <v>42647</v>
      </c>
      <c r="I201" s="496">
        <v>236</v>
      </c>
      <c r="J201" s="495">
        <v>43012</v>
      </c>
      <c r="K201" s="497">
        <v>184.595</v>
      </c>
      <c r="L201" s="495">
        <v>43376</v>
      </c>
      <c r="M201" s="497">
        <v>165.828</v>
      </c>
      <c r="N201" s="495">
        <v>43741</v>
      </c>
      <c r="O201" s="498">
        <v>193.91</v>
      </c>
      <c r="P201" s="495">
        <v>44106</v>
      </c>
      <c r="Q201" s="498">
        <v>260.20100000000002</v>
      </c>
      <c r="R201" s="495">
        <v>44474</v>
      </c>
      <c r="S201" s="498">
        <v>297.18900000000002</v>
      </c>
      <c r="T201" s="495">
        <v>44839</v>
      </c>
      <c r="U201" s="498">
        <v>436.12799999999999</v>
      </c>
      <c r="V201" s="495"/>
      <c r="W201" s="498"/>
    </row>
    <row r="202" spans="2:23">
      <c r="B202" s="495">
        <v>41551</v>
      </c>
      <c r="C202" s="496">
        <v>180</v>
      </c>
      <c r="D202" s="495">
        <v>41918</v>
      </c>
      <c r="E202" s="496">
        <v>170</v>
      </c>
      <c r="F202" s="495">
        <v>42258</v>
      </c>
      <c r="G202" s="496">
        <v>283</v>
      </c>
      <c r="H202" s="495">
        <v>42648</v>
      </c>
      <c r="I202" s="496">
        <v>234</v>
      </c>
      <c r="J202" s="495">
        <v>43013</v>
      </c>
      <c r="K202" s="497">
        <v>182.994</v>
      </c>
      <c r="L202" s="495">
        <v>43377</v>
      </c>
      <c r="M202" s="497">
        <v>168.215</v>
      </c>
      <c r="N202" s="495">
        <v>43742</v>
      </c>
      <c r="O202" s="498">
        <v>188.70500000000001</v>
      </c>
      <c r="P202" s="495">
        <v>44109</v>
      </c>
      <c r="Q202" s="498">
        <v>250.96899999999999</v>
      </c>
      <c r="R202" s="495">
        <v>44475</v>
      </c>
      <c r="S202" s="498">
        <v>298.04899999999998</v>
      </c>
      <c r="T202" s="495">
        <v>44840</v>
      </c>
      <c r="U202" s="498">
        <v>440.61799999999999</v>
      </c>
      <c r="V202" s="495"/>
      <c r="W202" s="498"/>
    </row>
    <row r="203" spans="2:23">
      <c r="B203" s="495">
        <v>41554</v>
      </c>
      <c r="C203" s="496">
        <v>179</v>
      </c>
      <c r="D203" s="495">
        <v>41919</v>
      </c>
      <c r="E203" s="496">
        <v>176</v>
      </c>
      <c r="F203" s="495">
        <v>42261</v>
      </c>
      <c r="G203" s="496">
        <v>281</v>
      </c>
      <c r="H203" s="495">
        <v>42649</v>
      </c>
      <c r="I203" s="496">
        <v>233</v>
      </c>
      <c r="J203" s="495">
        <v>43014</v>
      </c>
      <c r="K203" s="497">
        <v>183.79499999999999</v>
      </c>
      <c r="L203" s="495">
        <v>43378</v>
      </c>
      <c r="M203" s="497">
        <v>168.715</v>
      </c>
      <c r="N203" s="495">
        <v>43745</v>
      </c>
      <c r="O203" s="498">
        <v>183.494</v>
      </c>
      <c r="P203" s="495">
        <v>44110</v>
      </c>
      <c r="Q203" s="498">
        <v>251.18100000000001</v>
      </c>
      <c r="R203" s="495">
        <v>44476</v>
      </c>
      <c r="S203" s="498">
        <v>288.87700000000001</v>
      </c>
      <c r="T203" s="495">
        <v>44841</v>
      </c>
      <c r="U203" s="498">
        <v>459.21899999999999</v>
      </c>
      <c r="V203" s="495"/>
      <c r="W203" s="498"/>
    </row>
    <row r="204" spans="2:23">
      <c r="B204" s="495">
        <v>41555</v>
      </c>
      <c r="C204" s="496">
        <v>176</v>
      </c>
      <c r="D204" s="495">
        <v>41920</v>
      </c>
      <c r="E204" s="496">
        <v>176</v>
      </c>
      <c r="F204" s="495">
        <v>42262</v>
      </c>
      <c r="G204" s="496">
        <v>269</v>
      </c>
      <c r="H204" s="495">
        <v>42650</v>
      </c>
      <c r="I204" s="496">
        <v>231</v>
      </c>
      <c r="J204" s="495">
        <v>43018</v>
      </c>
      <c r="K204" s="497">
        <v>183.90700000000001</v>
      </c>
      <c r="L204" s="495">
        <v>43382</v>
      </c>
      <c r="M204" s="497">
        <v>170.97200000000001</v>
      </c>
      <c r="N204" s="495">
        <v>43746</v>
      </c>
      <c r="O204" s="498">
        <v>185.44499999999999</v>
      </c>
      <c r="P204" s="495">
        <v>44111</v>
      </c>
      <c r="Q204" s="498">
        <v>245.40299999999999</v>
      </c>
      <c r="R204" s="495">
        <v>44477</v>
      </c>
      <c r="S204" s="498">
        <v>286.08499999999998</v>
      </c>
      <c r="T204" s="495">
        <v>44845</v>
      </c>
      <c r="U204" s="498">
        <v>478.79599999999999</v>
      </c>
      <c r="V204" s="495"/>
      <c r="W204" s="498"/>
    </row>
    <row r="205" spans="2:23">
      <c r="B205" s="495">
        <v>41556</v>
      </c>
      <c r="C205" s="496">
        <v>174</v>
      </c>
      <c r="D205" s="495">
        <v>41921</v>
      </c>
      <c r="E205" s="496">
        <v>173</v>
      </c>
      <c r="F205" s="495">
        <v>42263</v>
      </c>
      <c r="G205" s="496">
        <v>264</v>
      </c>
      <c r="H205" s="495">
        <v>42654</v>
      </c>
      <c r="I205" s="496">
        <v>234</v>
      </c>
      <c r="J205" s="495">
        <v>43019</v>
      </c>
      <c r="K205" s="497">
        <v>186.398</v>
      </c>
      <c r="L205" s="495">
        <v>43383</v>
      </c>
      <c r="M205" s="497">
        <v>172.33799999999999</v>
      </c>
      <c r="N205" s="495">
        <v>43747</v>
      </c>
      <c r="O205" s="498">
        <v>182.95699999999999</v>
      </c>
      <c r="P205" s="495">
        <v>44112</v>
      </c>
      <c r="Q205" s="498">
        <v>237.636</v>
      </c>
      <c r="R205" s="495">
        <v>44481</v>
      </c>
      <c r="S205" s="498">
        <v>288.74099999999999</v>
      </c>
      <c r="T205" s="495">
        <v>44846</v>
      </c>
      <c r="U205" s="498">
        <v>482.08600000000001</v>
      </c>
      <c r="V205" s="495"/>
      <c r="W205" s="498"/>
    </row>
    <row r="206" spans="2:23">
      <c r="B206" s="495">
        <v>41557</v>
      </c>
      <c r="C206" s="496">
        <v>170</v>
      </c>
      <c r="D206" s="495">
        <v>41922</v>
      </c>
      <c r="E206" s="496">
        <v>176</v>
      </c>
      <c r="F206" s="495">
        <v>42264</v>
      </c>
      <c r="G206" s="496">
        <v>265</v>
      </c>
      <c r="H206" s="495">
        <v>42655</v>
      </c>
      <c r="I206" s="496">
        <v>232</v>
      </c>
      <c r="J206" s="495">
        <v>43020</v>
      </c>
      <c r="K206" s="497">
        <v>189.422</v>
      </c>
      <c r="L206" s="495">
        <v>43384</v>
      </c>
      <c r="M206" s="497">
        <v>181.762</v>
      </c>
      <c r="N206" s="495">
        <v>43748</v>
      </c>
      <c r="O206" s="498">
        <v>179.916</v>
      </c>
      <c r="P206" s="495">
        <v>44113</v>
      </c>
      <c r="Q206" s="498">
        <v>233.66300000000001</v>
      </c>
      <c r="R206" s="495">
        <v>44482</v>
      </c>
      <c r="S206" s="498">
        <v>287.97000000000003</v>
      </c>
      <c r="T206" s="495">
        <v>44847</v>
      </c>
      <c r="U206" s="498">
        <v>479.65899999999999</v>
      </c>
      <c r="V206" s="495"/>
      <c r="W206" s="498"/>
    </row>
    <row r="207" spans="2:23">
      <c r="B207" s="495">
        <v>41558</v>
      </c>
      <c r="C207" s="496">
        <v>166</v>
      </c>
      <c r="D207" s="495">
        <v>41926</v>
      </c>
      <c r="E207" s="496">
        <v>185</v>
      </c>
      <c r="F207" s="495">
        <v>42265</v>
      </c>
      <c r="G207" s="496">
        <v>266</v>
      </c>
      <c r="H207" s="495">
        <v>42656</v>
      </c>
      <c r="I207" s="496">
        <v>230</v>
      </c>
      <c r="J207" s="495">
        <v>43021</v>
      </c>
      <c r="K207" s="497">
        <v>190.04300000000001</v>
      </c>
      <c r="L207" s="495">
        <v>43385</v>
      </c>
      <c r="M207" s="497">
        <v>179.738</v>
      </c>
      <c r="N207" s="495">
        <v>43749</v>
      </c>
      <c r="O207" s="498">
        <v>173.76400000000001</v>
      </c>
      <c r="P207" s="495">
        <v>44117</v>
      </c>
      <c r="Q207" s="498">
        <v>235.17400000000001</v>
      </c>
      <c r="R207" s="495">
        <v>44483</v>
      </c>
      <c r="S207" s="498">
        <v>287.536</v>
      </c>
      <c r="T207" s="495">
        <v>44848</v>
      </c>
      <c r="U207" s="498">
        <v>485.38799999999998</v>
      </c>
      <c r="V207" s="495"/>
      <c r="W207" s="498"/>
    </row>
    <row r="208" spans="2:23">
      <c r="B208" s="495">
        <v>41562</v>
      </c>
      <c r="C208" s="496">
        <v>162</v>
      </c>
      <c r="D208" s="495">
        <v>41927</v>
      </c>
      <c r="E208" s="496">
        <v>184</v>
      </c>
      <c r="F208" s="495">
        <v>42268</v>
      </c>
      <c r="G208" s="496">
        <v>274</v>
      </c>
      <c r="H208" s="495">
        <v>42657</v>
      </c>
      <c r="I208" s="496">
        <v>229</v>
      </c>
      <c r="J208" s="495">
        <v>43024</v>
      </c>
      <c r="K208" s="497">
        <v>188.68</v>
      </c>
      <c r="L208" s="495">
        <v>43388</v>
      </c>
      <c r="M208" s="497">
        <v>179.54400000000001</v>
      </c>
      <c r="N208" s="495">
        <v>43753</v>
      </c>
      <c r="O208" s="498">
        <v>173.803</v>
      </c>
      <c r="P208" s="495">
        <v>44118</v>
      </c>
      <c r="Q208" s="498">
        <v>232.172</v>
      </c>
      <c r="R208" s="495">
        <v>44484</v>
      </c>
      <c r="S208" s="498">
        <v>286.82</v>
      </c>
      <c r="T208" s="495">
        <v>44851</v>
      </c>
      <c r="U208" s="498">
        <v>485.34500000000003</v>
      </c>
      <c r="V208" s="495"/>
      <c r="W208" s="498"/>
    </row>
    <row r="209" spans="2:23">
      <c r="B209" s="495">
        <v>41563</v>
      </c>
      <c r="C209" s="496">
        <v>166</v>
      </c>
      <c r="D209" s="495">
        <v>41928</v>
      </c>
      <c r="E209" s="496">
        <v>179</v>
      </c>
      <c r="F209" s="495">
        <v>42269</v>
      </c>
      <c r="G209" s="496">
        <v>292</v>
      </c>
      <c r="H209" s="495">
        <v>42660</v>
      </c>
      <c r="I209" s="496">
        <v>233</v>
      </c>
      <c r="J209" s="495">
        <v>43025</v>
      </c>
      <c r="K209" s="497">
        <v>189.81100000000001</v>
      </c>
      <c r="L209" s="495">
        <v>43389</v>
      </c>
      <c r="M209" s="497">
        <v>178.12700000000001</v>
      </c>
      <c r="N209" s="495">
        <v>43754</v>
      </c>
      <c r="O209" s="498">
        <v>174.929</v>
      </c>
      <c r="P209" s="495">
        <v>44119</v>
      </c>
      <c r="Q209" s="498">
        <v>230.435</v>
      </c>
      <c r="R209" s="495">
        <v>44487</v>
      </c>
      <c r="S209" s="498">
        <v>290.51100000000002</v>
      </c>
      <c r="T209" s="495">
        <v>44852</v>
      </c>
      <c r="U209" s="498">
        <v>483.35300000000001</v>
      </c>
      <c r="V209" s="495"/>
      <c r="W209" s="498"/>
    </row>
    <row r="210" spans="2:23">
      <c r="B210" s="495">
        <v>41564</v>
      </c>
      <c r="C210" s="496">
        <v>167</v>
      </c>
      <c r="D210" s="495">
        <v>41929</v>
      </c>
      <c r="E210" s="496">
        <v>173</v>
      </c>
      <c r="F210" s="495">
        <v>42270</v>
      </c>
      <c r="G210" s="496">
        <v>296</v>
      </c>
      <c r="H210" s="495">
        <v>42661</v>
      </c>
      <c r="I210" s="496">
        <v>233</v>
      </c>
      <c r="J210" s="495">
        <v>43026</v>
      </c>
      <c r="K210" s="497">
        <v>187.15299999999999</v>
      </c>
      <c r="L210" s="495">
        <v>43390</v>
      </c>
      <c r="M210" s="497">
        <v>177.01400000000001</v>
      </c>
      <c r="N210" s="495">
        <v>43755</v>
      </c>
      <c r="O210" s="498">
        <v>177.38499999999999</v>
      </c>
      <c r="P210" s="495">
        <v>44120</v>
      </c>
      <c r="Q210" s="498">
        <v>227.767</v>
      </c>
      <c r="R210" s="495">
        <v>44488</v>
      </c>
      <c r="S210" s="498">
        <v>284.48099999999999</v>
      </c>
      <c r="T210" s="495">
        <v>44853</v>
      </c>
      <c r="U210" s="498">
        <v>500.68700000000001</v>
      </c>
      <c r="V210" s="495"/>
      <c r="W210" s="498"/>
    </row>
    <row r="211" spans="2:23">
      <c r="B211" s="495">
        <v>41565</v>
      </c>
      <c r="C211" s="496">
        <v>161</v>
      </c>
      <c r="D211" s="495">
        <v>41932</v>
      </c>
      <c r="E211" s="496">
        <v>175</v>
      </c>
      <c r="F211" s="495">
        <v>42271</v>
      </c>
      <c r="G211" s="496">
        <v>309</v>
      </c>
      <c r="H211" s="495">
        <v>42662</v>
      </c>
      <c r="I211" s="496">
        <v>226</v>
      </c>
      <c r="J211" s="495">
        <v>43027</v>
      </c>
      <c r="K211" s="497">
        <v>185.12200000000001</v>
      </c>
      <c r="L211" s="495">
        <v>43391</v>
      </c>
      <c r="M211" s="497">
        <v>183.38399999999999</v>
      </c>
      <c r="N211" s="495">
        <v>43756</v>
      </c>
      <c r="O211" s="498">
        <v>175.94200000000001</v>
      </c>
      <c r="P211" s="495">
        <v>44123</v>
      </c>
      <c r="Q211" s="498">
        <v>228.43700000000001</v>
      </c>
      <c r="R211" s="495">
        <v>44489</v>
      </c>
      <c r="S211" s="498">
        <v>284.46100000000001</v>
      </c>
      <c r="T211" s="495">
        <v>44854</v>
      </c>
      <c r="U211" s="498">
        <v>521.70899999999995</v>
      </c>
      <c r="V211" s="495"/>
      <c r="W211" s="498"/>
    </row>
    <row r="212" spans="2:23">
      <c r="B212" s="495">
        <v>41568</v>
      </c>
      <c r="C212" s="496">
        <v>160</v>
      </c>
      <c r="D212" s="495">
        <v>41933</v>
      </c>
      <c r="E212" s="496">
        <v>176</v>
      </c>
      <c r="F212" s="495">
        <v>42272</v>
      </c>
      <c r="G212" s="496">
        <v>311</v>
      </c>
      <c r="H212" s="495">
        <v>42663</v>
      </c>
      <c r="I212" s="496">
        <v>225</v>
      </c>
      <c r="J212" s="495">
        <v>43028</v>
      </c>
      <c r="K212" s="497">
        <v>183.4</v>
      </c>
      <c r="L212" s="495">
        <v>43392</v>
      </c>
      <c r="M212" s="497">
        <v>184.304</v>
      </c>
      <c r="N212" s="495">
        <v>43759</v>
      </c>
      <c r="O212" s="498">
        <v>172.34399999999999</v>
      </c>
      <c r="P212" s="495">
        <v>44124</v>
      </c>
      <c r="Q212" s="498">
        <v>229.012</v>
      </c>
      <c r="R212" s="495">
        <v>44490</v>
      </c>
      <c r="S212" s="498">
        <v>283.495</v>
      </c>
      <c r="T212" s="495">
        <v>44855</v>
      </c>
      <c r="U212" s="498">
        <v>514.00699999999995</v>
      </c>
      <c r="V212" s="495"/>
      <c r="W212" s="498"/>
    </row>
    <row r="213" spans="2:23">
      <c r="B213" s="495">
        <v>41569</v>
      </c>
      <c r="C213" s="496">
        <v>164</v>
      </c>
      <c r="D213" s="495">
        <v>41934</v>
      </c>
      <c r="E213" s="496">
        <v>173</v>
      </c>
      <c r="F213" s="495">
        <v>42275</v>
      </c>
      <c r="G213" s="496">
        <v>325</v>
      </c>
      <c r="H213" s="495">
        <v>42664</v>
      </c>
      <c r="I213" s="496">
        <v>225</v>
      </c>
      <c r="J213" s="495">
        <v>43031</v>
      </c>
      <c r="K213" s="497">
        <v>184.434</v>
      </c>
      <c r="L213" s="495">
        <v>43395</v>
      </c>
      <c r="M213" s="497">
        <v>186.07300000000001</v>
      </c>
      <c r="N213" s="495">
        <v>43760</v>
      </c>
      <c r="O213" s="498">
        <v>173.21600000000001</v>
      </c>
      <c r="P213" s="495">
        <v>44125</v>
      </c>
      <c r="Q213" s="498">
        <v>234.03299999999999</v>
      </c>
      <c r="R213" s="495">
        <v>44491</v>
      </c>
      <c r="S213" s="498">
        <v>287.11099999999999</v>
      </c>
      <c r="T213" s="495">
        <v>44858</v>
      </c>
      <c r="U213" s="498">
        <v>501.64800000000002</v>
      </c>
      <c r="V213" s="495"/>
      <c r="W213" s="498"/>
    </row>
    <row r="214" spans="2:23">
      <c r="B214" s="495">
        <v>41570</v>
      </c>
      <c r="C214" s="496">
        <v>166</v>
      </c>
      <c r="D214" s="495">
        <v>41935</v>
      </c>
      <c r="E214" s="496">
        <v>168</v>
      </c>
      <c r="F214" s="495">
        <v>42276</v>
      </c>
      <c r="G214" s="496">
        <v>326</v>
      </c>
      <c r="H214" s="495">
        <v>42667</v>
      </c>
      <c r="I214" s="496">
        <v>225</v>
      </c>
      <c r="J214" s="495">
        <v>43032</v>
      </c>
      <c r="K214" s="497">
        <v>183.768</v>
      </c>
      <c r="L214" s="495">
        <v>43396</v>
      </c>
      <c r="M214" s="497">
        <v>183.839</v>
      </c>
      <c r="N214" s="495">
        <v>43761</v>
      </c>
      <c r="O214" s="498">
        <v>173.929</v>
      </c>
      <c r="P214" s="495">
        <v>44126</v>
      </c>
      <c r="Q214" s="498">
        <v>234.99100000000001</v>
      </c>
      <c r="R214" s="495">
        <v>44494</v>
      </c>
      <c r="S214" s="498">
        <v>288.42</v>
      </c>
      <c r="T214" s="495">
        <v>44859</v>
      </c>
      <c r="U214" s="498">
        <v>477.488</v>
      </c>
      <c r="V214" s="495"/>
      <c r="W214" s="498"/>
    </row>
    <row r="215" spans="2:23">
      <c r="B215" s="495">
        <v>41571</v>
      </c>
      <c r="C215" s="496">
        <v>169</v>
      </c>
      <c r="D215" s="495">
        <v>41936</v>
      </c>
      <c r="E215" s="496">
        <v>173</v>
      </c>
      <c r="F215" s="495">
        <v>42277</v>
      </c>
      <c r="G215" s="496">
        <v>318</v>
      </c>
      <c r="H215" s="495">
        <v>42668</v>
      </c>
      <c r="I215" s="496">
        <v>230</v>
      </c>
      <c r="J215" s="495">
        <v>43033</v>
      </c>
      <c r="K215" s="497">
        <v>182.98</v>
      </c>
      <c r="L215" s="495">
        <v>43397</v>
      </c>
      <c r="M215" s="497">
        <v>186.846</v>
      </c>
      <c r="N215" s="495">
        <v>43762</v>
      </c>
      <c r="O215" s="498">
        <v>173.012</v>
      </c>
      <c r="P215" s="495">
        <v>44127</v>
      </c>
      <c r="Q215" s="498">
        <v>240.47900000000001</v>
      </c>
      <c r="R215" s="495">
        <v>44495</v>
      </c>
      <c r="S215" s="498">
        <v>287.798</v>
      </c>
      <c r="T215" s="495">
        <v>44860</v>
      </c>
      <c r="U215" s="498">
        <v>470.76100000000002</v>
      </c>
      <c r="V215" s="495"/>
      <c r="W215" s="498"/>
    </row>
    <row r="216" spans="2:23">
      <c r="B216" s="495">
        <v>41572</v>
      </c>
      <c r="C216" s="496">
        <v>173</v>
      </c>
      <c r="D216" s="495">
        <v>41939</v>
      </c>
      <c r="E216" s="496">
        <v>176</v>
      </c>
      <c r="F216" s="495">
        <v>42278</v>
      </c>
      <c r="G216" s="496">
        <v>310</v>
      </c>
      <c r="H216" s="495">
        <v>42669</v>
      </c>
      <c r="I216" s="496">
        <v>229</v>
      </c>
      <c r="J216" s="495">
        <v>43034</v>
      </c>
      <c r="K216" s="497">
        <v>183.93600000000001</v>
      </c>
      <c r="L216" s="495">
        <v>43398</v>
      </c>
      <c r="M216" s="497">
        <v>184.113</v>
      </c>
      <c r="N216" s="495">
        <v>43763</v>
      </c>
      <c r="O216" s="498">
        <v>169.41399999999999</v>
      </c>
      <c r="P216" s="495">
        <v>44130</v>
      </c>
      <c r="Q216" s="498">
        <v>242.44800000000001</v>
      </c>
      <c r="R216" s="495">
        <v>44496</v>
      </c>
      <c r="S216" s="498">
        <v>291.24400000000003</v>
      </c>
      <c r="T216" s="495">
        <v>44861</v>
      </c>
      <c r="U216" s="498">
        <v>445.40800000000002</v>
      </c>
      <c r="V216" s="495"/>
      <c r="W216" s="498"/>
    </row>
    <row r="217" spans="2:23">
      <c r="B217" s="495">
        <v>41575</v>
      </c>
      <c r="C217" s="496">
        <v>173</v>
      </c>
      <c r="D217" s="495">
        <v>41940</v>
      </c>
      <c r="E217" s="496">
        <v>171</v>
      </c>
      <c r="F217" s="495">
        <v>42279</v>
      </c>
      <c r="G217" s="496">
        <v>310</v>
      </c>
      <c r="H217" s="495">
        <v>42670</v>
      </c>
      <c r="I217" s="496">
        <v>232</v>
      </c>
      <c r="J217" s="495">
        <v>43035</v>
      </c>
      <c r="K217" s="497">
        <v>184.91800000000001</v>
      </c>
      <c r="L217" s="495">
        <v>43399</v>
      </c>
      <c r="M217" s="497">
        <v>190.61199999999999</v>
      </c>
      <c r="N217" s="495">
        <v>43766</v>
      </c>
      <c r="O217" s="498">
        <v>169.024</v>
      </c>
      <c r="P217" s="495">
        <v>44131</v>
      </c>
      <c r="Q217" s="498">
        <v>241.86</v>
      </c>
      <c r="R217" s="495">
        <v>44497</v>
      </c>
      <c r="S217" s="498">
        <v>293.92500000000001</v>
      </c>
      <c r="T217" s="495">
        <v>44862</v>
      </c>
      <c r="U217" s="498">
        <v>437.92099999999999</v>
      </c>
      <c r="V217" s="495"/>
      <c r="W217" s="498"/>
    </row>
    <row r="218" spans="2:23">
      <c r="B218" s="495">
        <v>41576</v>
      </c>
      <c r="C218" s="496">
        <v>173</v>
      </c>
      <c r="D218" s="495">
        <v>41941</v>
      </c>
      <c r="E218" s="496">
        <v>168</v>
      </c>
      <c r="F218" s="495">
        <v>42282</v>
      </c>
      <c r="G218" s="496">
        <v>291</v>
      </c>
      <c r="H218" s="495">
        <v>42671</v>
      </c>
      <c r="I218" s="496">
        <v>233</v>
      </c>
      <c r="J218" s="495">
        <v>43038</v>
      </c>
      <c r="K218" s="497">
        <v>185.619</v>
      </c>
      <c r="L218" s="495">
        <v>43402</v>
      </c>
      <c r="M218" s="497">
        <v>194.21299999999999</v>
      </c>
      <c r="N218" s="495">
        <v>43767</v>
      </c>
      <c r="O218" s="498">
        <v>172.84299999999999</v>
      </c>
      <c r="P218" s="495">
        <v>44132</v>
      </c>
      <c r="Q218" s="498">
        <v>247.30799999999999</v>
      </c>
      <c r="R218" s="495">
        <v>44498</v>
      </c>
      <c r="S218" s="498">
        <v>301.86500000000001</v>
      </c>
      <c r="T218" s="495">
        <v>44865</v>
      </c>
      <c r="U218" s="498">
        <v>455.89400000000001</v>
      </c>
      <c r="V218" s="495"/>
      <c r="W218" s="498"/>
    </row>
    <row r="219" spans="2:23">
      <c r="B219" s="495">
        <v>41577</v>
      </c>
      <c r="C219" s="496">
        <v>168</v>
      </c>
      <c r="D219" s="495">
        <v>41942</v>
      </c>
      <c r="E219" s="496">
        <v>173</v>
      </c>
      <c r="F219" s="495">
        <v>42283</v>
      </c>
      <c r="G219" s="496">
        <v>289</v>
      </c>
      <c r="H219" s="495">
        <v>42674</v>
      </c>
      <c r="I219" s="496">
        <v>239</v>
      </c>
      <c r="J219" s="495">
        <v>43039</v>
      </c>
      <c r="K219" s="497">
        <v>184.25200000000001</v>
      </c>
      <c r="L219" s="495">
        <v>43403</v>
      </c>
      <c r="M219" s="497">
        <v>190.29300000000001</v>
      </c>
      <c r="N219" s="495">
        <v>43768</v>
      </c>
      <c r="O219" s="498">
        <v>180.60900000000001</v>
      </c>
      <c r="P219" s="495">
        <v>44133</v>
      </c>
      <c r="Q219" s="498">
        <v>246.03200000000001</v>
      </c>
      <c r="R219" s="495">
        <v>44501</v>
      </c>
      <c r="S219" s="498">
        <v>303.214</v>
      </c>
      <c r="T219" s="495">
        <v>44866</v>
      </c>
      <c r="U219" s="498">
        <v>452.73</v>
      </c>
      <c r="V219" s="495"/>
      <c r="W219" s="498"/>
    </row>
    <row r="220" spans="2:23">
      <c r="B220" s="495">
        <v>41578</v>
      </c>
      <c r="C220" s="496">
        <v>172</v>
      </c>
      <c r="D220" s="495">
        <v>41943</v>
      </c>
      <c r="E220" s="496">
        <v>172</v>
      </c>
      <c r="F220" s="495">
        <v>42284</v>
      </c>
      <c r="G220" s="496">
        <v>284</v>
      </c>
      <c r="H220" s="495">
        <v>42675</v>
      </c>
      <c r="I220" s="496">
        <v>250</v>
      </c>
      <c r="J220" s="495">
        <v>43040</v>
      </c>
      <c r="K220" s="497">
        <v>183.98599999999999</v>
      </c>
      <c r="L220" s="495">
        <v>43404</v>
      </c>
      <c r="M220" s="497">
        <v>185.678</v>
      </c>
      <c r="N220" s="495">
        <v>43769</v>
      </c>
      <c r="O220" s="498">
        <v>181.86199999999999</v>
      </c>
      <c r="P220" s="495">
        <v>44134</v>
      </c>
      <c r="Q220" s="498">
        <v>244.03100000000001</v>
      </c>
      <c r="R220" s="495">
        <v>44502</v>
      </c>
      <c r="S220" s="498">
        <v>307.76</v>
      </c>
      <c r="T220" s="495">
        <v>44867</v>
      </c>
      <c r="U220" s="498">
        <v>463.02699999999999</v>
      </c>
      <c r="V220" s="495"/>
      <c r="W220" s="498"/>
    </row>
    <row r="221" spans="2:23">
      <c r="B221" s="495">
        <v>41579</v>
      </c>
      <c r="C221" s="496">
        <v>174</v>
      </c>
      <c r="D221" s="495">
        <v>41946</v>
      </c>
      <c r="E221" s="496">
        <v>172</v>
      </c>
      <c r="F221" s="495">
        <v>42285</v>
      </c>
      <c r="G221" s="496">
        <v>272</v>
      </c>
      <c r="H221" s="495">
        <v>42676</v>
      </c>
      <c r="I221" s="496">
        <v>248</v>
      </c>
      <c r="J221" s="495">
        <v>43041</v>
      </c>
      <c r="K221" s="497">
        <v>183.38399999999999</v>
      </c>
      <c r="L221" s="495">
        <v>43405</v>
      </c>
      <c r="M221" s="497">
        <v>185.73500000000001</v>
      </c>
      <c r="N221" s="495">
        <v>43770</v>
      </c>
      <c r="O221" s="498">
        <v>178.62100000000001</v>
      </c>
      <c r="P221" s="495">
        <v>44137</v>
      </c>
      <c r="Q221" s="498">
        <v>244.84200000000001</v>
      </c>
      <c r="R221" s="495">
        <v>44503</v>
      </c>
      <c r="S221" s="498">
        <v>305.93200000000002</v>
      </c>
      <c r="T221" s="495">
        <v>44868</v>
      </c>
      <c r="U221" s="498">
        <v>464.48399999999998</v>
      </c>
      <c r="V221" s="495"/>
      <c r="W221" s="498"/>
    </row>
    <row r="222" spans="2:23">
      <c r="B222" s="495">
        <v>41582</v>
      </c>
      <c r="C222" s="496">
        <v>174</v>
      </c>
      <c r="D222" s="495">
        <v>41947</v>
      </c>
      <c r="E222" s="496">
        <v>174</v>
      </c>
      <c r="F222" s="495">
        <v>42286</v>
      </c>
      <c r="G222" s="496">
        <v>269</v>
      </c>
      <c r="H222" s="495">
        <v>42677</v>
      </c>
      <c r="I222" s="496">
        <v>244</v>
      </c>
      <c r="J222" s="495">
        <v>43042</v>
      </c>
      <c r="K222" s="497">
        <v>184.75299999999999</v>
      </c>
      <c r="L222" s="495">
        <v>43406</v>
      </c>
      <c r="M222" s="497">
        <v>181.67400000000001</v>
      </c>
      <c r="N222" s="495">
        <v>43773</v>
      </c>
      <c r="O222" s="498">
        <v>175.977</v>
      </c>
      <c r="P222" s="495">
        <v>44138</v>
      </c>
      <c r="Q222" s="498">
        <v>240.321</v>
      </c>
      <c r="R222" s="495">
        <v>44504</v>
      </c>
      <c r="S222" s="498">
        <v>309.928</v>
      </c>
      <c r="T222" s="495">
        <v>44869</v>
      </c>
      <c r="U222" s="498">
        <v>450.74900000000002</v>
      </c>
      <c r="V222" s="495"/>
      <c r="W222" s="498"/>
    </row>
    <row r="223" spans="2:23">
      <c r="B223" s="495">
        <v>41583</v>
      </c>
      <c r="C223" s="496">
        <v>177</v>
      </c>
      <c r="D223" s="495">
        <v>41948</v>
      </c>
      <c r="E223" s="496">
        <v>173</v>
      </c>
      <c r="F223" s="495">
        <v>42290</v>
      </c>
      <c r="G223" s="496">
        <v>281</v>
      </c>
      <c r="H223" s="495">
        <v>42678</v>
      </c>
      <c r="I223" s="496">
        <v>247</v>
      </c>
      <c r="J223" s="495">
        <v>43045</v>
      </c>
      <c r="K223" s="497">
        <v>183.78700000000001</v>
      </c>
      <c r="L223" s="495">
        <v>43409</v>
      </c>
      <c r="M223" s="497">
        <v>183.29300000000001</v>
      </c>
      <c r="N223" s="495">
        <v>43774</v>
      </c>
      <c r="O223" s="498">
        <v>176.47800000000001</v>
      </c>
      <c r="P223" s="495">
        <v>44139</v>
      </c>
      <c r="Q223" s="498">
        <v>229.60400000000001</v>
      </c>
      <c r="R223" s="495">
        <v>44505</v>
      </c>
      <c r="S223" s="498">
        <v>312.947</v>
      </c>
      <c r="T223" s="495">
        <v>44872</v>
      </c>
      <c r="U223" s="498">
        <v>431.18900000000002</v>
      </c>
      <c r="V223" s="495"/>
      <c r="W223" s="498"/>
    </row>
    <row r="224" spans="2:23">
      <c r="B224" s="495">
        <v>41584</v>
      </c>
      <c r="C224" s="496">
        <v>180</v>
      </c>
      <c r="D224" s="495">
        <v>41949</v>
      </c>
      <c r="E224" s="496">
        <v>169</v>
      </c>
      <c r="F224" s="495">
        <v>42291</v>
      </c>
      <c r="G224" s="496">
        <v>282</v>
      </c>
      <c r="H224" s="495">
        <v>42681</v>
      </c>
      <c r="I224" s="496">
        <v>233</v>
      </c>
      <c r="J224" s="495">
        <v>43046</v>
      </c>
      <c r="K224" s="497">
        <v>186.27</v>
      </c>
      <c r="L224" s="495">
        <v>43410</v>
      </c>
      <c r="M224" s="497">
        <v>184.71700000000001</v>
      </c>
      <c r="N224" s="495">
        <v>43775</v>
      </c>
      <c r="O224" s="498">
        <v>178.875</v>
      </c>
      <c r="P224" s="495">
        <v>44140</v>
      </c>
      <c r="Q224" s="498">
        <v>223.66900000000001</v>
      </c>
      <c r="R224" s="495">
        <v>44508</v>
      </c>
      <c r="S224" s="498">
        <v>300.30599999999998</v>
      </c>
      <c r="T224" s="495">
        <v>44873</v>
      </c>
      <c r="U224" s="498">
        <v>428.65699999999998</v>
      </c>
      <c r="V224" s="495"/>
      <c r="W224" s="498"/>
    </row>
    <row r="225" spans="2:23">
      <c r="B225" s="495">
        <v>41585</v>
      </c>
      <c r="C225" s="496">
        <v>187</v>
      </c>
      <c r="D225" s="495">
        <v>41950</v>
      </c>
      <c r="E225" s="496">
        <v>173</v>
      </c>
      <c r="F225" s="495">
        <v>42292</v>
      </c>
      <c r="G225" s="496">
        <v>274</v>
      </c>
      <c r="H225" s="495">
        <v>42682</v>
      </c>
      <c r="I225" s="496">
        <v>224</v>
      </c>
      <c r="J225" s="495">
        <v>43047</v>
      </c>
      <c r="K225" s="497">
        <v>187.173</v>
      </c>
      <c r="L225" s="495">
        <v>43411</v>
      </c>
      <c r="M225" s="497">
        <v>182.089</v>
      </c>
      <c r="N225" s="495">
        <v>43776</v>
      </c>
      <c r="O225" s="498">
        <v>172.964</v>
      </c>
      <c r="P225" s="495">
        <v>44141</v>
      </c>
      <c r="Q225" s="498">
        <v>220.66800000000001</v>
      </c>
      <c r="R225" s="495">
        <v>44509</v>
      </c>
      <c r="S225" s="498">
        <v>307.26900000000001</v>
      </c>
      <c r="T225" s="495">
        <v>44874</v>
      </c>
      <c r="U225" s="498">
        <v>438.72699999999998</v>
      </c>
      <c r="V225" s="495"/>
      <c r="W225" s="498"/>
    </row>
    <row r="226" spans="2:23">
      <c r="B226" s="495">
        <v>41586</v>
      </c>
      <c r="C226" s="496">
        <v>188</v>
      </c>
      <c r="D226" s="495">
        <v>41953</v>
      </c>
      <c r="E226" s="496">
        <v>170</v>
      </c>
      <c r="F226" s="495">
        <v>42293</v>
      </c>
      <c r="G226" s="496">
        <v>268</v>
      </c>
      <c r="H226" s="495">
        <v>42683</v>
      </c>
      <c r="I226" s="496">
        <v>227</v>
      </c>
      <c r="J226" s="495">
        <v>43048</v>
      </c>
      <c r="K226" s="497">
        <v>192.083</v>
      </c>
      <c r="L226" s="495">
        <v>43412</v>
      </c>
      <c r="M226" s="497">
        <v>187.155</v>
      </c>
      <c r="N226" s="495">
        <v>43777</v>
      </c>
      <c r="O226" s="498">
        <v>171.453</v>
      </c>
      <c r="P226" s="495">
        <v>44144</v>
      </c>
      <c r="Q226" s="498">
        <v>203.69399999999999</v>
      </c>
      <c r="R226" s="495">
        <v>44510</v>
      </c>
      <c r="S226" s="498">
        <v>307.20800000000003</v>
      </c>
      <c r="T226" s="495">
        <v>44875</v>
      </c>
      <c r="U226" s="498">
        <v>420.34500000000003</v>
      </c>
      <c r="V226" s="495"/>
      <c r="W226" s="498"/>
    </row>
    <row r="227" spans="2:23">
      <c r="B227" s="495">
        <v>41590</v>
      </c>
      <c r="C227" s="496">
        <v>193</v>
      </c>
      <c r="D227" s="495">
        <v>41955</v>
      </c>
      <c r="E227" s="496">
        <v>169</v>
      </c>
      <c r="F227" s="495">
        <v>42296</v>
      </c>
      <c r="G227" s="496">
        <v>273</v>
      </c>
      <c r="H227" s="495">
        <v>42684</v>
      </c>
      <c r="I227" s="496">
        <v>253</v>
      </c>
      <c r="J227" s="495">
        <v>43049</v>
      </c>
      <c r="K227" s="497">
        <v>189.749</v>
      </c>
      <c r="L227" s="495">
        <v>43413</v>
      </c>
      <c r="M227" s="497">
        <v>190.40600000000001</v>
      </c>
      <c r="N227" s="495">
        <v>43781</v>
      </c>
      <c r="O227" s="498">
        <v>174.458</v>
      </c>
      <c r="P227" s="495">
        <v>44145</v>
      </c>
      <c r="Q227" s="498">
        <v>203.28100000000001</v>
      </c>
      <c r="R227" s="495">
        <v>44512</v>
      </c>
      <c r="S227" s="498">
        <v>309.07100000000003</v>
      </c>
      <c r="T227" s="495">
        <v>44879</v>
      </c>
      <c r="U227" s="498">
        <v>398.29300000000001</v>
      </c>
      <c r="V227" s="495"/>
      <c r="W227" s="498"/>
    </row>
    <row r="228" spans="2:23">
      <c r="B228" s="495">
        <v>41591</v>
      </c>
      <c r="C228" s="496">
        <v>193</v>
      </c>
      <c r="D228" s="495">
        <v>41956</v>
      </c>
      <c r="E228" s="496">
        <v>168</v>
      </c>
      <c r="F228" s="495">
        <v>42297</v>
      </c>
      <c r="G228" s="496">
        <v>278</v>
      </c>
      <c r="H228" s="495">
        <v>42688</v>
      </c>
      <c r="I228" s="496">
        <v>266</v>
      </c>
      <c r="J228" s="495">
        <v>43052</v>
      </c>
      <c r="K228" s="497">
        <v>191.37299999999999</v>
      </c>
      <c r="L228" s="495">
        <v>43417</v>
      </c>
      <c r="M228" s="497">
        <v>199.10900000000001</v>
      </c>
      <c r="N228" s="495">
        <v>43782</v>
      </c>
      <c r="O228" s="498">
        <v>177.542</v>
      </c>
      <c r="P228" s="495">
        <v>44147</v>
      </c>
      <c r="Q228" s="498">
        <v>206.47300000000001</v>
      </c>
      <c r="R228" s="495">
        <v>44515</v>
      </c>
      <c r="S228" s="498">
        <v>306.58</v>
      </c>
      <c r="T228" s="495">
        <v>44880</v>
      </c>
      <c r="U228" s="498">
        <v>391.04599999999999</v>
      </c>
      <c r="V228" s="495"/>
      <c r="W228" s="498"/>
    </row>
    <row r="229" spans="2:23">
      <c r="B229" s="495">
        <v>41592</v>
      </c>
      <c r="C229" s="496">
        <v>187</v>
      </c>
      <c r="D229" s="495">
        <v>41957</v>
      </c>
      <c r="E229" s="496">
        <v>172</v>
      </c>
      <c r="F229" s="495">
        <v>42298</v>
      </c>
      <c r="G229" s="496">
        <v>290</v>
      </c>
      <c r="H229" s="495">
        <v>42689</v>
      </c>
      <c r="I229" s="496">
        <v>250</v>
      </c>
      <c r="J229" s="495">
        <v>43053</v>
      </c>
      <c r="K229" s="497">
        <v>188.3</v>
      </c>
      <c r="L229" s="495">
        <v>43418</v>
      </c>
      <c r="M229" s="497">
        <v>202.19399999999999</v>
      </c>
      <c r="N229" s="495">
        <v>43783</v>
      </c>
      <c r="O229" s="498">
        <v>181.06</v>
      </c>
      <c r="P229" s="495">
        <v>44148</v>
      </c>
      <c r="Q229" s="498">
        <v>206.958</v>
      </c>
      <c r="R229" s="495">
        <v>44516</v>
      </c>
      <c r="S229" s="498">
        <v>309.72800000000001</v>
      </c>
      <c r="T229" s="495">
        <v>44881</v>
      </c>
      <c r="U229" s="498">
        <v>394.11900000000003</v>
      </c>
      <c r="V229" s="495"/>
      <c r="W229" s="498"/>
    </row>
    <row r="230" spans="2:23">
      <c r="B230" s="495">
        <v>41593</v>
      </c>
      <c r="C230" s="496">
        <v>183</v>
      </c>
      <c r="D230" s="495">
        <v>41960</v>
      </c>
      <c r="E230" s="496">
        <v>173</v>
      </c>
      <c r="F230" s="495">
        <v>42299</v>
      </c>
      <c r="G230" s="496">
        <v>290</v>
      </c>
      <c r="H230" s="495">
        <v>42690</v>
      </c>
      <c r="I230" s="496">
        <v>259</v>
      </c>
      <c r="J230" s="495">
        <v>43054</v>
      </c>
      <c r="K230" s="497">
        <v>188.619</v>
      </c>
      <c r="L230" s="495">
        <v>43419</v>
      </c>
      <c r="M230" s="497">
        <v>205.39599999999999</v>
      </c>
      <c r="N230" s="495">
        <v>43784</v>
      </c>
      <c r="O230" s="498">
        <v>180.714</v>
      </c>
      <c r="P230" s="495">
        <v>44151</v>
      </c>
      <c r="Q230" s="498">
        <v>206.72200000000001</v>
      </c>
      <c r="R230" s="495">
        <v>44517</v>
      </c>
      <c r="S230" s="498">
        <v>311.79500000000002</v>
      </c>
      <c r="T230" s="495">
        <v>44882</v>
      </c>
      <c r="U230" s="498">
        <v>403.16</v>
      </c>
      <c r="V230" s="495"/>
      <c r="W230" s="498"/>
    </row>
    <row r="231" spans="2:23">
      <c r="B231" s="495">
        <v>41596</v>
      </c>
      <c r="C231" s="496">
        <v>182</v>
      </c>
      <c r="D231" s="495">
        <v>41961</v>
      </c>
      <c r="E231" s="496">
        <v>175</v>
      </c>
      <c r="F231" s="495">
        <v>42300</v>
      </c>
      <c r="G231" s="496">
        <v>279</v>
      </c>
      <c r="H231" s="495">
        <v>42691</v>
      </c>
      <c r="I231" s="496">
        <v>262</v>
      </c>
      <c r="J231" s="495">
        <v>43055</v>
      </c>
      <c r="K231" s="497">
        <v>189.89599999999999</v>
      </c>
      <c r="L231" s="495">
        <v>43420</v>
      </c>
      <c r="M231" s="497">
        <v>206.08</v>
      </c>
      <c r="N231" s="495">
        <v>43787</v>
      </c>
      <c r="O231" s="498">
        <v>185.47399999999999</v>
      </c>
      <c r="P231" s="495">
        <v>44152</v>
      </c>
      <c r="Q231" s="498">
        <v>212.03100000000001</v>
      </c>
      <c r="R231" s="495">
        <v>44518</v>
      </c>
      <c r="S231" s="498">
        <v>315.46800000000002</v>
      </c>
      <c r="T231" s="495">
        <v>44883</v>
      </c>
      <c r="U231" s="498">
        <v>403.36500000000001</v>
      </c>
      <c r="V231" s="495"/>
      <c r="W231" s="498"/>
    </row>
    <row r="232" spans="2:23">
      <c r="B232" s="495">
        <v>41597</v>
      </c>
      <c r="C232" s="496">
        <v>182</v>
      </c>
      <c r="D232" s="495">
        <v>41962</v>
      </c>
      <c r="E232" s="496">
        <v>173</v>
      </c>
      <c r="F232" s="495">
        <v>42303</v>
      </c>
      <c r="G232" s="496">
        <v>278</v>
      </c>
      <c r="H232" s="495">
        <v>42692</v>
      </c>
      <c r="I232" s="496">
        <v>272</v>
      </c>
      <c r="J232" s="495">
        <v>43056</v>
      </c>
      <c r="K232" s="497">
        <v>196.01400000000001</v>
      </c>
      <c r="L232" s="495">
        <v>43423</v>
      </c>
      <c r="M232" s="497">
        <v>212.096</v>
      </c>
      <c r="N232" s="495">
        <v>43788</v>
      </c>
      <c r="O232" s="498">
        <v>191.738</v>
      </c>
      <c r="P232" s="495">
        <v>44153</v>
      </c>
      <c r="Q232" s="498">
        <v>212.03299999999999</v>
      </c>
      <c r="R232" s="495">
        <v>44519</v>
      </c>
      <c r="S232" s="498">
        <v>316.26</v>
      </c>
      <c r="T232" s="495">
        <v>44886</v>
      </c>
      <c r="U232" s="498">
        <v>398.19900000000001</v>
      </c>
      <c r="V232" s="495"/>
      <c r="W232" s="498"/>
    </row>
    <row r="233" spans="2:23">
      <c r="B233" s="495">
        <v>41598</v>
      </c>
      <c r="C233" s="496">
        <v>183</v>
      </c>
      <c r="D233" s="495">
        <v>41963</v>
      </c>
      <c r="E233" s="496">
        <v>176</v>
      </c>
      <c r="F233" s="495">
        <v>42304</v>
      </c>
      <c r="G233" s="496">
        <v>284</v>
      </c>
      <c r="H233" s="495">
        <v>42695</v>
      </c>
      <c r="I233" s="496">
        <v>269</v>
      </c>
      <c r="J233" s="495">
        <v>43059</v>
      </c>
      <c r="K233" s="497">
        <v>188.298</v>
      </c>
      <c r="L233" s="495">
        <v>43424</v>
      </c>
      <c r="M233" s="497">
        <v>217.494</v>
      </c>
      <c r="N233" s="495">
        <v>43789</v>
      </c>
      <c r="O233" s="498">
        <v>192.76900000000001</v>
      </c>
      <c r="P233" s="495">
        <v>44154</v>
      </c>
      <c r="Q233" s="498">
        <v>215.51</v>
      </c>
      <c r="R233" s="495">
        <v>44522</v>
      </c>
      <c r="S233" s="498">
        <v>314.233</v>
      </c>
      <c r="T233" s="495">
        <v>44887</v>
      </c>
      <c r="U233" s="498">
        <v>396.41500000000002</v>
      </c>
      <c r="V233" s="495"/>
      <c r="W233" s="498"/>
    </row>
    <row r="234" spans="2:23">
      <c r="B234" s="495">
        <v>41599</v>
      </c>
      <c r="C234" s="496">
        <v>186</v>
      </c>
      <c r="D234" s="495">
        <v>41964</v>
      </c>
      <c r="E234" s="496">
        <v>173</v>
      </c>
      <c r="F234" s="495">
        <v>42305</v>
      </c>
      <c r="G234" s="496">
        <v>279</v>
      </c>
      <c r="H234" s="495">
        <v>42696</v>
      </c>
      <c r="I234" s="496">
        <v>262</v>
      </c>
      <c r="J234" s="495">
        <v>43060</v>
      </c>
      <c r="K234" s="497">
        <v>188.357</v>
      </c>
      <c r="L234" s="495">
        <v>43425</v>
      </c>
      <c r="M234" s="497">
        <v>213.62299999999999</v>
      </c>
      <c r="N234" s="495">
        <v>43790</v>
      </c>
      <c r="O234" s="498">
        <v>187.75</v>
      </c>
      <c r="P234" s="495">
        <v>44155</v>
      </c>
      <c r="Q234" s="498">
        <v>215.34</v>
      </c>
      <c r="R234" s="495">
        <v>44523</v>
      </c>
      <c r="S234" s="498">
        <v>322.245</v>
      </c>
      <c r="T234" s="495">
        <v>44888</v>
      </c>
      <c r="U234" s="498">
        <v>400.69099999999997</v>
      </c>
      <c r="V234" s="495"/>
      <c r="W234" s="498"/>
    </row>
    <row r="235" spans="2:23">
      <c r="B235" s="495">
        <v>41600</v>
      </c>
      <c r="C235" s="496">
        <v>188</v>
      </c>
      <c r="D235" s="495">
        <v>41967</v>
      </c>
      <c r="E235" s="496">
        <v>173</v>
      </c>
      <c r="F235" s="495">
        <v>42306</v>
      </c>
      <c r="G235" s="496">
        <v>281</v>
      </c>
      <c r="H235" s="495">
        <v>42697</v>
      </c>
      <c r="I235" s="496">
        <v>263</v>
      </c>
      <c r="J235" s="495">
        <v>43061</v>
      </c>
      <c r="K235" s="497">
        <v>187.66200000000001</v>
      </c>
      <c r="L235" s="495">
        <v>43427</v>
      </c>
      <c r="M235" s="497">
        <v>214.08600000000001</v>
      </c>
      <c r="N235" s="495">
        <v>43791</v>
      </c>
      <c r="O235" s="498">
        <v>183.49600000000001</v>
      </c>
      <c r="P235" s="495">
        <v>44158</v>
      </c>
      <c r="Q235" s="498">
        <v>215.23400000000001</v>
      </c>
      <c r="R235" s="495">
        <v>44524</v>
      </c>
      <c r="S235" s="498">
        <v>330.06400000000002</v>
      </c>
      <c r="T235" s="495">
        <v>44890</v>
      </c>
      <c r="U235" s="498">
        <v>401.61399999999998</v>
      </c>
      <c r="V235" s="495"/>
      <c r="W235" s="498"/>
    </row>
    <row r="236" spans="2:23">
      <c r="B236" s="495">
        <v>41603</v>
      </c>
      <c r="C236" s="496">
        <v>190</v>
      </c>
      <c r="D236" s="495">
        <v>41968</v>
      </c>
      <c r="E236" s="496">
        <v>178</v>
      </c>
      <c r="F236" s="495">
        <v>42307</v>
      </c>
      <c r="G236" s="496">
        <v>285</v>
      </c>
      <c r="H236" s="495">
        <v>42699</v>
      </c>
      <c r="I236" s="496">
        <v>266</v>
      </c>
      <c r="J236" s="495">
        <v>43063</v>
      </c>
      <c r="K236" s="497">
        <v>187.298</v>
      </c>
      <c r="L236" s="495">
        <v>43430</v>
      </c>
      <c r="M236" s="497">
        <v>216.833</v>
      </c>
      <c r="N236" s="495">
        <v>43794</v>
      </c>
      <c r="O236" s="498">
        <v>184.04</v>
      </c>
      <c r="P236" s="495">
        <v>44159</v>
      </c>
      <c r="Q236" s="498">
        <v>217.67400000000001</v>
      </c>
      <c r="R236" s="495">
        <v>44526</v>
      </c>
      <c r="S236" s="498">
        <v>358.476</v>
      </c>
      <c r="T236" s="495">
        <v>44893</v>
      </c>
      <c r="U236" s="498">
        <v>403.76499999999999</v>
      </c>
      <c r="V236" s="495"/>
      <c r="W236" s="498"/>
    </row>
    <row r="237" spans="2:23">
      <c r="B237" s="495">
        <v>41604</v>
      </c>
      <c r="C237" s="496">
        <v>193</v>
      </c>
      <c r="D237" s="495">
        <v>41969</v>
      </c>
      <c r="E237" s="496">
        <v>175</v>
      </c>
      <c r="F237" s="495">
        <v>42310</v>
      </c>
      <c r="G237" s="496">
        <v>284</v>
      </c>
      <c r="H237" s="495">
        <v>42702</v>
      </c>
      <c r="I237" s="496">
        <v>258</v>
      </c>
      <c r="J237" s="495">
        <v>43066</v>
      </c>
      <c r="K237" s="497">
        <v>185.79900000000001</v>
      </c>
      <c r="L237" s="495">
        <v>43431</v>
      </c>
      <c r="M237" s="497">
        <v>219.86699999999999</v>
      </c>
      <c r="N237" s="495">
        <v>43795</v>
      </c>
      <c r="O237" s="498">
        <v>188.995</v>
      </c>
      <c r="P237" s="495">
        <v>44160</v>
      </c>
      <c r="Q237" s="498">
        <v>220.821</v>
      </c>
      <c r="R237" s="495">
        <v>44529</v>
      </c>
      <c r="S237" s="498">
        <v>356.75799999999998</v>
      </c>
      <c r="T237" s="495">
        <v>44894</v>
      </c>
      <c r="U237" s="498">
        <v>403.35</v>
      </c>
      <c r="V237" s="495"/>
      <c r="W237" s="498"/>
    </row>
    <row r="238" spans="2:23">
      <c r="B238" s="495">
        <v>41605</v>
      </c>
      <c r="C238" s="496">
        <v>193</v>
      </c>
      <c r="D238" s="495">
        <v>41974</v>
      </c>
      <c r="E238" s="496">
        <v>181</v>
      </c>
      <c r="F238" s="495">
        <v>42311</v>
      </c>
      <c r="G238" s="496">
        <v>273</v>
      </c>
      <c r="H238" s="495">
        <v>42703</v>
      </c>
      <c r="I238" s="496">
        <v>259</v>
      </c>
      <c r="J238" s="495">
        <v>43067</v>
      </c>
      <c r="K238" s="497">
        <v>183.446</v>
      </c>
      <c r="L238" s="495">
        <v>43432</v>
      </c>
      <c r="M238" s="497">
        <v>213.05</v>
      </c>
      <c r="N238" s="495">
        <v>43796</v>
      </c>
      <c r="O238" s="498">
        <v>189</v>
      </c>
      <c r="P238" s="495">
        <v>44162</v>
      </c>
      <c r="Q238" s="498">
        <v>223.70400000000001</v>
      </c>
      <c r="R238" s="495">
        <v>44530</v>
      </c>
      <c r="S238" s="498">
        <v>359.197</v>
      </c>
      <c r="T238" s="495">
        <v>44895</v>
      </c>
      <c r="U238" s="498">
        <v>404.42200000000003</v>
      </c>
      <c r="V238" s="495"/>
      <c r="W238" s="498"/>
    </row>
    <row r="239" spans="2:23">
      <c r="B239" s="495">
        <v>41610</v>
      </c>
      <c r="C239" s="496">
        <v>193</v>
      </c>
      <c r="D239" s="495">
        <v>41975</v>
      </c>
      <c r="E239" s="496">
        <v>175</v>
      </c>
      <c r="F239" s="495">
        <v>42312</v>
      </c>
      <c r="G239" s="496">
        <v>275</v>
      </c>
      <c r="H239" s="495">
        <v>42704</v>
      </c>
      <c r="I239" s="496">
        <v>254</v>
      </c>
      <c r="J239" s="495">
        <v>43068</v>
      </c>
      <c r="K239" s="497">
        <v>180.858</v>
      </c>
      <c r="L239" s="495">
        <v>43433</v>
      </c>
      <c r="M239" s="497">
        <v>210.70400000000001</v>
      </c>
      <c r="N239" s="495">
        <v>43798</v>
      </c>
      <c r="O239" s="498">
        <v>187.506</v>
      </c>
      <c r="P239" s="495">
        <v>44165</v>
      </c>
      <c r="Q239" s="498">
        <v>227.541</v>
      </c>
      <c r="R239" s="495">
        <v>44531</v>
      </c>
      <c r="S239" s="498">
        <v>345.8</v>
      </c>
      <c r="T239" s="495">
        <v>44896</v>
      </c>
      <c r="U239" s="498">
        <v>392.83199999999999</v>
      </c>
      <c r="V239" s="495"/>
      <c r="W239" s="498"/>
    </row>
    <row r="240" spans="2:23">
      <c r="B240" s="495">
        <v>41611</v>
      </c>
      <c r="C240" s="496">
        <v>196</v>
      </c>
      <c r="D240" s="495">
        <v>41976</v>
      </c>
      <c r="E240" s="496">
        <v>175</v>
      </c>
      <c r="F240" s="495">
        <v>42313</v>
      </c>
      <c r="G240" s="496">
        <v>273</v>
      </c>
      <c r="H240" s="495">
        <v>42705</v>
      </c>
      <c r="I240" s="496">
        <v>257</v>
      </c>
      <c r="J240" s="495">
        <v>43069</v>
      </c>
      <c r="K240" s="497">
        <v>177.405</v>
      </c>
      <c r="L240" s="495">
        <v>43434</v>
      </c>
      <c r="M240" s="497">
        <v>209.63</v>
      </c>
      <c r="N240" s="495">
        <v>43801</v>
      </c>
      <c r="O240" s="498">
        <v>188.024</v>
      </c>
      <c r="P240" s="495">
        <v>44166</v>
      </c>
      <c r="Q240" s="498">
        <v>218.018</v>
      </c>
      <c r="R240" s="495">
        <v>44532</v>
      </c>
      <c r="S240" s="498">
        <v>338.94900000000001</v>
      </c>
      <c r="T240" s="495">
        <v>44897</v>
      </c>
      <c r="U240" s="498">
        <v>383.41500000000002</v>
      </c>
      <c r="V240" s="495"/>
      <c r="W240" s="498"/>
    </row>
    <row r="241" spans="2:23">
      <c r="B241" s="495">
        <v>41612</v>
      </c>
      <c r="C241" s="496">
        <v>196</v>
      </c>
      <c r="D241" s="495">
        <v>41977</v>
      </c>
      <c r="E241" s="496">
        <v>178</v>
      </c>
      <c r="F241" s="495">
        <v>42314</v>
      </c>
      <c r="G241" s="496">
        <v>274</v>
      </c>
      <c r="H241" s="495">
        <v>42706</v>
      </c>
      <c r="I241" s="496">
        <v>252</v>
      </c>
      <c r="J241" s="495">
        <v>43070</v>
      </c>
      <c r="K241" s="497">
        <v>177.24600000000001</v>
      </c>
      <c r="L241" s="495">
        <v>43437</v>
      </c>
      <c r="M241" s="497">
        <v>206.893</v>
      </c>
      <c r="N241" s="495">
        <v>43802</v>
      </c>
      <c r="O241" s="498">
        <v>197.553</v>
      </c>
      <c r="P241" s="495">
        <v>44167</v>
      </c>
      <c r="Q241" s="498">
        <v>214.99</v>
      </c>
      <c r="R241" s="495">
        <v>44533</v>
      </c>
      <c r="S241" s="498">
        <v>341.34</v>
      </c>
      <c r="T241" s="495">
        <v>44900</v>
      </c>
      <c r="U241" s="498">
        <v>383.15899999999999</v>
      </c>
      <c r="V241" s="495"/>
      <c r="W241" s="498"/>
    </row>
    <row r="242" spans="2:23">
      <c r="B242" s="495">
        <v>41613</v>
      </c>
      <c r="C242" s="496">
        <v>195</v>
      </c>
      <c r="D242" s="495">
        <v>41978</v>
      </c>
      <c r="E242" s="496">
        <v>181</v>
      </c>
      <c r="F242" s="495">
        <v>42317</v>
      </c>
      <c r="G242" s="496">
        <v>280</v>
      </c>
      <c r="H242" s="495">
        <v>42709</v>
      </c>
      <c r="I242" s="496">
        <v>244</v>
      </c>
      <c r="J242" s="495">
        <v>43073</v>
      </c>
      <c r="K242" s="497">
        <v>175.524</v>
      </c>
      <c r="L242" s="495">
        <v>43438</v>
      </c>
      <c r="M242" s="497">
        <v>213.45699999999999</v>
      </c>
      <c r="N242" s="495">
        <v>43803</v>
      </c>
      <c r="O242" s="498">
        <v>188.851</v>
      </c>
      <c r="P242" s="495">
        <v>44168</v>
      </c>
      <c r="Q242" s="498">
        <v>212.38399999999999</v>
      </c>
      <c r="R242" s="495">
        <v>44536</v>
      </c>
      <c r="S242" s="498">
        <v>337.54700000000003</v>
      </c>
      <c r="T242" s="495">
        <v>44901</v>
      </c>
      <c r="U242" s="498">
        <v>398.28199999999998</v>
      </c>
      <c r="V242" s="495"/>
      <c r="W242" s="498"/>
    </row>
    <row r="243" spans="2:23">
      <c r="B243" s="495">
        <v>41614</v>
      </c>
      <c r="C243" s="496">
        <v>190</v>
      </c>
      <c r="D243" s="495">
        <v>41981</v>
      </c>
      <c r="E243" s="496">
        <v>194</v>
      </c>
      <c r="F243" s="495">
        <v>42318</v>
      </c>
      <c r="G243" s="496">
        <v>279</v>
      </c>
      <c r="H243" s="495">
        <v>42710</v>
      </c>
      <c r="I243" s="496">
        <v>236</v>
      </c>
      <c r="J243" s="495">
        <v>43074</v>
      </c>
      <c r="K243" s="497">
        <v>177.86</v>
      </c>
      <c r="L243" s="495">
        <v>43440</v>
      </c>
      <c r="M243" s="497">
        <v>213.989</v>
      </c>
      <c r="N243" s="495">
        <v>43804</v>
      </c>
      <c r="O243" s="498">
        <v>184.56899999999999</v>
      </c>
      <c r="P243" s="495">
        <v>44169</v>
      </c>
      <c r="Q243" s="498">
        <v>208.619</v>
      </c>
      <c r="R243" s="495">
        <v>44537</v>
      </c>
      <c r="S243" s="498">
        <v>332.02300000000002</v>
      </c>
      <c r="T243" s="495">
        <v>44902</v>
      </c>
      <c r="U243" s="498">
        <v>402.08499999999998</v>
      </c>
      <c r="V243" s="495"/>
      <c r="W243" s="498"/>
    </row>
    <row r="244" spans="2:23">
      <c r="B244" s="495">
        <v>41617</v>
      </c>
      <c r="C244" s="496">
        <v>191</v>
      </c>
      <c r="D244" s="495">
        <v>41982</v>
      </c>
      <c r="E244" s="496">
        <v>199</v>
      </c>
      <c r="F244" s="495">
        <v>42320</v>
      </c>
      <c r="G244" s="496">
        <v>282</v>
      </c>
      <c r="H244" s="495">
        <v>42711</v>
      </c>
      <c r="I244" s="496">
        <v>234</v>
      </c>
      <c r="J244" s="495">
        <v>43075</v>
      </c>
      <c r="K244" s="497">
        <v>175.30799999999999</v>
      </c>
      <c r="L244" s="495">
        <v>43441</v>
      </c>
      <c r="M244" s="497">
        <v>208.57499999999999</v>
      </c>
      <c r="N244" s="495">
        <v>43805</v>
      </c>
      <c r="O244" s="498">
        <v>177.72900000000001</v>
      </c>
      <c r="P244" s="495">
        <v>44172</v>
      </c>
      <c r="Q244" s="498">
        <v>212.42599999999999</v>
      </c>
      <c r="R244" s="495">
        <v>44538</v>
      </c>
      <c r="S244" s="498">
        <v>329.726</v>
      </c>
      <c r="T244" s="495">
        <v>44903</v>
      </c>
      <c r="U244" s="498">
        <v>390.22</v>
      </c>
      <c r="V244" s="495"/>
      <c r="W244" s="498"/>
    </row>
    <row r="245" spans="2:23">
      <c r="B245" s="495">
        <v>41618</v>
      </c>
      <c r="C245" s="496">
        <v>189</v>
      </c>
      <c r="D245" s="495">
        <v>41983</v>
      </c>
      <c r="E245" s="496">
        <v>212</v>
      </c>
      <c r="F245" s="495">
        <v>42321</v>
      </c>
      <c r="G245" s="496">
        <v>292</v>
      </c>
      <c r="H245" s="495">
        <v>42712</v>
      </c>
      <c r="I245" s="496">
        <v>235</v>
      </c>
      <c r="J245" s="495">
        <v>43076</v>
      </c>
      <c r="K245" s="497">
        <v>174.434</v>
      </c>
      <c r="L245" s="495">
        <v>43444</v>
      </c>
      <c r="M245" s="497">
        <v>207.86</v>
      </c>
      <c r="N245" s="495">
        <v>43808</v>
      </c>
      <c r="O245" s="498">
        <v>177.791</v>
      </c>
      <c r="P245" s="495">
        <v>44173</v>
      </c>
      <c r="Q245" s="498">
        <v>216.09200000000001</v>
      </c>
      <c r="R245" s="495">
        <v>44539</v>
      </c>
      <c r="S245" s="498">
        <v>328.5</v>
      </c>
      <c r="T245" s="495">
        <v>44904</v>
      </c>
      <c r="U245" s="498">
        <v>378.17599999999999</v>
      </c>
      <c r="V245" s="495"/>
      <c r="W245" s="498"/>
    </row>
    <row r="246" spans="2:23">
      <c r="B246" s="495">
        <v>41619</v>
      </c>
      <c r="C246" s="496">
        <v>186</v>
      </c>
      <c r="D246" s="495">
        <v>41984</v>
      </c>
      <c r="E246" s="496">
        <v>218</v>
      </c>
      <c r="F246" s="495">
        <v>42324</v>
      </c>
      <c r="G246" s="496">
        <v>288</v>
      </c>
      <c r="H246" s="495">
        <v>42713</v>
      </c>
      <c r="I246" s="496">
        <v>233</v>
      </c>
      <c r="J246" s="495">
        <v>43077</v>
      </c>
      <c r="K246" s="497">
        <v>177.23099999999999</v>
      </c>
      <c r="L246" s="495">
        <v>43445</v>
      </c>
      <c r="M246" s="497">
        <v>202.27699999999999</v>
      </c>
      <c r="N246" s="495">
        <v>43809</v>
      </c>
      <c r="O246" s="498">
        <v>175.536</v>
      </c>
      <c r="P246" s="495">
        <v>44174</v>
      </c>
      <c r="Q246" s="498">
        <v>216.11099999999999</v>
      </c>
      <c r="R246" s="495">
        <v>44540</v>
      </c>
      <c r="S246" s="498">
        <v>334.02300000000002</v>
      </c>
      <c r="T246" s="495">
        <v>44907</v>
      </c>
      <c r="U246" s="498">
        <v>379.161</v>
      </c>
      <c r="V246" s="495"/>
      <c r="W246" s="498"/>
    </row>
    <row r="247" spans="2:23">
      <c r="B247" s="495">
        <v>41620</v>
      </c>
      <c r="C247" s="496">
        <v>179</v>
      </c>
      <c r="D247" s="495">
        <v>41985</v>
      </c>
      <c r="E247" s="496">
        <v>230</v>
      </c>
      <c r="F247" s="495">
        <v>42325</v>
      </c>
      <c r="G247" s="496">
        <v>289</v>
      </c>
      <c r="H247" s="495">
        <v>42716</v>
      </c>
      <c r="I247" s="496">
        <v>235</v>
      </c>
      <c r="J247" s="495">
        <v>43080</v>
      </c>
      <c r="K247" s="497">
        <v>177.14</v>
      </c>
      <c r="L247" s="495">
        <v>43446</v>
      </c>
      <c r="M247" s="497">
        <v>196.12700000000001</v>
      </c>
      <c r="N247" s="495">
        <v>43810</v>
      </c>
      <c r="O247" s="498">
        <v>177.22900000000001</v>
      </c>
      <c r="P247" s="495">
        <v>44175</v>
      </c>
      <c r="Q247" s="498">
        <v>216.404</v>
      </c>
      <c r="R247" s="495">
        <v>44543</v>
      </c>
      <c r="S247" s="498">
        <v>342.08600000000001</v>
      </c>
      <c r="T247" s="495">
        <v>44908</v>
      </c>
      <c r="U247" s="498">
        <v>371.85599999999999</v>
      </c>
      <c r="V247" s="495"/>
      <c r="W247" s="498"/>
    </row>
    <row r="248" spans="2:23">
      <c r="B248" s="495">
        <v>41621</v>
      </c>
      <c r="C248" s="496">
        <v>176</v>
      </c>
      <c r="D248" s="495">
        <v>41988</v>
      </c>
      <c r="E248" s="496">
        <v>239</v>
      </c>
      <c r="F248" s="495">
        <v>42326</v>
      </c>
      <c r="G248" s="496">
        <v>291</v>
      </c>
      <c r="H248" s="495">
        <v>42717</v>
      </c>
      <c r="I248" s="496">
        <v>231</v>
      </c>
      <c r="J248" s="495">
        <v>43081</v>
      </c>
      <c r="K248" s="497">
        <v>175.41200000000001</v>
      </c>
      <c r="L248" s="495">
        <v>43447</v>
      </c>
      <c r="M248" s="497">
        <v>196.613</v>
      </c>
      <c r="N248" s="495">
        <v>43811</v>
      </c>
      <c r="O248" s="498">
        <v>167.41499999999999</v>
      </c>
      <c r="P248" s="495">
        <v>44176</v>
      </c>
      <c r="Q248" s="498">
        <v>215.24600000000001</v>
      </c>
      <c r="R248" s="495">
        <v>44544</v>
      </c>
      <c r="S248" s="498">
        <v>343.238</v>
      </c>
      <c r="T248" s="495">
        <v>44909</v>
      </c>
      <c r="U248" s="498">
        <v>380.14499999999998</v>
      </c>
      <c r="V248" s="495"/>
      <c r="W248" s="498"/>
    </row>
    <row r="249" spans="2:23">
      <c r="B249" s="495">
        <v>41624</v>
      </c>
      <c r="C249" s="496">
        <v>175</v>
      </c>
      <c r="D249" s="495">
        <v>41989</v>
      </c>
      <c r="E249" s="496">
        <v>253</v>
      </c>
      <c r="F249" s="495">
        <v>42327</v>
      </c>
      <c r="G249" s="496">
        <v>289</v>
      </c>
      <c r="H249" s="495">
        <v>42718</v>
      </c>
      <c r="I249" s="496">
        <v>224</v>
      </c>
      <c r="J249" s="495">
        <v>43082</v>
      </c>
      <c r="K249" s="497">
        <v>176.07900000000001</v>
      </c>
      <c r="L249" s="495">
        <v>43448</v>
      </c>
      <c r="M249" s="497">
        <v>198.15100000000001</v>
      </c>
      <c r="N249" s="495">
        <v>43812</v>
      </c>
      <c r="O249" s="498">
        <v>170.23699999999999</v>
      </c>
      <c r="P249" s="495">
        <v>44179</v>
      </c>
      <c r="Q249" s="498">
        <v>214.29900000000001</v>
      </c>
      <c r="R249" s="495">
        <v>44545</v>
      </c>
      <c r="S249" s="498">
        <v>346.57299999999998</v>
      </c>
      <c r="T249" s="495">
        <v>44910</v>
      </c>
      <c r="U249" s="498">
        <v>383.93599999999998</v>
      </c>
      <c r="V249" s="495"/>
      <c r="W249" s="498"/>
    </row>
    <row r="250" spans="2:23">
      <c r="B250" s="495">
        <v>41625</v>
      </c>
      <c r="C250" s="496">
        <v>180</v>
      </c>
      <c r="D250" s="495">
        <v>41990</v>
      </c>
      <c r="E250" s="496">
        <v>235</v>
      </c>
      <c r="F250" s="495">
        <v>42328</v>
      </c>
      <c r="G250" s="496">
        <v>286</v>
      </c>
      <c r="H250" s="495">
        <v>42719</v>
      </c>
      <c r="I250" s="496">
        <v>224</v>
      </c>
      <c r="J250" s="495">
        <v>43083</v>
      </c>
      <c r="K250" s="497">
        <v>177.31800000000001</v>
      </c>
      <c r="L250" s="495">
        <v>43451</v>
      </c>
      <c r="M250" s="497">
        <v>200.721</v>
      </c>
      <c r="N250" s="495">
        <v>43815</v>
      </c>
      <c r="O250" s="498">
        <v>161.93100000000001</v>
      </c>
      <c r="P250" s="495">
        <v>44180</v>
      </c>
      <c r="Q250" s="498">
        <v>209.83</v>
      </c>
      <c r="R250" s="495">
        <v>44546</v>
      </c>
      <c r="S250" s="498">
        <v>349.37</v>
      </c>
      <c r="T250" s="495">
        <v>44911</v>
      </c>
      <c r="U250" s="498">
        <v>391.18400000000003</v>
      </c>
      <c r="V250" s="495"/>
      <c r="W250" s="498"/>
    </row>
    <row r="251" spans="2:23">
      <c r="B251" s="495">
        <v>41626</v>
      </c>
      <c r="C251" s="496">
        <v>179</v>
      </c>
      <c r="D251" s="495">
        <v>41991</v>
      </c>
      <c r="E251" s="496">
        <v>207</v>
      </c>
      <c r="F251" s="495">
        <v>42331</v>
      </c>
      <c r="G251" s="496">
        <v>285</v>
      </c>
      <c r="H251" s="495">
        <v>42720</v>
      </c>
      <c r="I251" s="496">
        <v>220</v>
      </c>
      <c r="J251" s="495">
        <v>43084</v>
      </c>
      <c r="K251" s="497">
        <v>178.98099999999999</v>
      </c>
      <c r="L251" s="495">
        <v>43452</v>
      </c>
      <c r="M251" s="497">
        <v>205.572</v>
      </c>
      <c r="N251" s="495">
        <v>43816</v>
      </c>
      <c r="O251" s="498">
        <v>162.46700000000001</v>
      </c>
      <c r="P251" s="495">
        <v>44181</v>
      </c>
      <c r="Q251" s="498">
        <v>208.26599999999999</v>
      </c>
      <c r="R251" s="495">
        <v>44547</v>
      </c>
      <c r="S251" s="498">
        <v>352.61599999999999</v>
      </c>
      <c r="T251" s="495">
        <v>44914</v>
      </c>
      <c r="U251" s="498">
        <v>395.21499999999997</v>
      </c>
      <c r="V251" s="495"/>
      <c r="W251" s="498"/>
    </row>
    <row r="252" spans="2:23">
      <c r="B252" s="495">
        <v>41627</v>
      </c>
      <c r="C252" s="496">
        <v>176</v>
      </c>
      <c r="D252" s="495">
        <v>41992</v>
      </c>
      <c r="E252" s="496">
        <v>197</v>
      </c>
      <c r="F252" s="495">
        <v>42332</v>
      </c>
      <c r="G252" s="496">
        <v>283</v>
      </c>
      <c r="H252" s="495">
        <v>42723</v>
      </c>
      <c r="I252" s="496">
        <v>221</v>
      </c>
      <c r="J252" s="495">
        <v>43087</v>
      </c>
      <c r="K252" s="497">
        <v>177.209</v>
      </c>
      <c r="L252" s="495">
        <v>43453</v>
      </c>
      <c r="M252" s="497">
        <v>214.023</v>
      </c>
      <c r="N252" s="495">
        <v>43817</v>
      </c>
      <c r="O252" s="498">
        <v>158.79900000000001</v>
      </c>
      <c r="P252" s="495">
        <v>44182</v>
      </c>
      <c r="Q252" s="498">
        <v>205.767</v>
      </c>
      <c r="R252" s="495">
        <v>44550</v>
      </c>
      <c r="S252" s="498">
        <v>357.99400000000003</v>
      </c>
      <c r="T252" s="495">
        <v>44915</v>
      </c>
      <c r="U252" s="498">
        <v>396.33699999999999</v>
      </c>
      <c r="V252" s="495"/>
      <c r="W252" s="498"/>
    </row>
    <row r="253" spans="2:23">
      <c r="B253" s="495">
        <v>41628</v>
      </c>
      <c r="C253" s="496">
        <v>175</v>
      </c>
      <c r="D253" s="495">
        <v>41995</v>
      </c>
      <c r="E253" s="496">
        <v>194</v>
      </c>
      <c r="F253" s="495">
        <v>42333</v>
      </c>
      <c r="G253" s="496">
        <v>286</v>
      </c>
      <c r="H253" s="495">
        <v>42724</v>
      </c>
      <c r="I253" s="496">
        <v>219</v>
      </c>
      <c r="J253" s="495">
        <v>43088</v>
      </c>
      <c r="K253" s="497">
        <v>175.553</v>
      </c>
      <c r="L253" s="495">
        <v>43454</v>
      </c>
      <c r="M253" s="497">
        <v>214.16900000000001</v>
      </c>
      <c r="N253" s="495">
        <v>43818</v>
      </c>
      <c r="O253" s="498">
        <v>162.839</v>
      </c>
      <c r="P253" s="495">
        <v>44183</v>
      </c>
      <c r="Q253" s="498">
        <v>205.37799999999999</v>
      </c>
      <c r="R253" s="495">
        <v>44551</v>
      </c>
      <c r="S253" s="498">
        <v>356.911</v>
      </c>
      <c r="T253" s="495">
        <v>44916</v>
      </c>
      <c r="U253" s="498">
        <v>378.68700000000001</v>
      </c>
      <c r="V253" s="495"/>
      <c r="W253" s="498"/>
    </row>
    <row r="254" spans="2:23">
      <c r="B254" s="495">
        <v>41631</v>
      </c>
      <c r="C254" s="496">
        <v>173</v>
      </c>
      <c r="D254" s="495">
        <v>41996</v>
      </c>
      <c r="E254" s="496">
        <v>187</v>
      </c>
      <c r="F254" s="495">
        <v>42335</v>
      </c>
      <c r="G254" s="496">
        <v>287</v>
      </c>
      <c r="H254" s="495">
        <v>42725</v>
      </c>
      <c r="I254" s="496">
        <v>220</v>
      </c>
      <c r="J254" s="495">
        <v>43089</v>
      </c>
      <c r="K254" s="497">
        <v>170.85900000000001</v>
      </c>
      <c r="L254" s="495">
        <v>43455</v>
      </c>
      <c r="M254" s="497">
        <v>218.54400000000001</v>
      </c>
      <c r="N254" s="495">
        <v>43819</v>
      </c>
      <c r="O254" s="498">
        <v>163.26400000000001</v>
      </c>
      <c r="P254" s="495">
        <v>44186</v>
      </c>
      <c r="Q254" s="498">
        <v>207.22</v>
      </c>
      <c r="R254" s="495">
        <v>44552</v>
      </c>
      <c r="S254" s="498">
        <v>358.64800000000002</v>
      </c>
      <c r="T254" s="495">
        <v>44917</v>
      </c>
      <c r="U254" s="498">
        <v>375.92599999999999</v>
      </c>
      <c r="V254" s="495"/>
      <c r="W254" s="498"/>
    </row>
    <row r="255" spans="2:23">
      <c r="B255" s="495">
        <v>41632</v>
      </c>
      <c r="C255" s="496">
        <v>167</v>
      </c>
      <c r="D255" s="495">
        <v>41997</v>
      </c>
      <c r="E255" s="496">
        <v>188</v>
      </c>
      <c r="F255" s="495">
        <v>42338</v>
      </c>
      <c r="G255" s="496">
        <v>289</v>
      </c>
      <c r="H255" s="495">
        <v>42726</v>
      </c>
      <c r="I255" s="496">
        <v>221</v>
      </c>
      <c r="J255" s="495">
        <v>43090</v>
      </c>
      <c r="K255" s="497">
        <v>167.077</v>
      </c>
      <c r="L255" s="495">
        <v>43458</v>
      </c>
      <c r="M255" s="497">
        <v>222.99299999999999</v>
      </c>
      <c r="N255" s="495">
        <v>43822</v>
      </c>
      <c r="O255" s="498">
        <v>161.95099999999999</v>
      </c>
      <c r="P255" s="495">
        <v>44187</v>
      </c>
      <c r="Q255" s="498">
        <v>207.744</v>
      </c>
      <c r="R255" s="495">
        <v>44553</v>
      </c>
      <c r="S255" s="498">
        <v>354.29500000000002</v>
      </c>
      <c r="T255" s="495">
        <v>44918</v>
      </c>
      <c r="U255" s="498">
        <v>372.32100000000003</v>
      </c>
      <c r="V255" s="495"/>
      <c r="W255" s="498"/>
    </row>
    <row r="256" spans="2:23">
      <c r="B256" s="495">
        <v>41634</v>
      </c>
      <c r="C256" s="496">
        <v>166</v>
      </c>
      <c r="D256" s="495">
        <v>41999</v>
      </c>
      <c r="E256" s="496">
        <v>187</v>
      </c>
      <c r="F256" s="495">
        <v>42339</v>
      </c>
      <c r="G256" s="496">
        <v>293</v>
      </c>
      <c r="H256" s="495">
        <v>42727</v>
      </c>
      <c r="I256" s="496">
        <v>222</v>
      </c>
      <c r="J256" s="495">
        <v>43091</v>
      </c>
      <c r="K256" s="497">
        <v>164.84899999999999</v>
      </c>
      <c r="L256" s="495">
        <v>43460</v>
      </c>
      <c r="M256" s="497">
        <v>219.41900000000001</v>
      </c>
      <c r="N256" s="495">
        <v>43823</v>
      </c>
      <c r="O256" s="498">
        <v>164.01</v>
      </c>
      <c r="P256" s="495">
        <v>44188</v>
      </c>
      <c r="Q256" s="498">
        <v>203.745</v>
      </c>
      <c r="R256" s="495">
        <v>44557</v>
      </c>
      <c r="S256" s="498">
        <v>356.16</v>
      </c>
      <c r="T256" s="495">
        <v>44922</v>
      </c>
      <c r="U256" s="498">
        <v>369.72500000000002</v>
      </c>
      <c r="V256" s="495"/>
      <c r="W256" s="498"/>
    </row>
    <row r="257" spans="2:23">
      <c r="B257" s="495">
        <v>41635</v>
      </c>
      <c r="C257" s="496">
        <v>166</v>
      </c>
      <c r="D257" s="495">
        <v>42002</v>
      </c>
      <c r="E257" s="496">
        <v>189</v>
      </c>
      <c r="F257" s="495">
        <v>42340</v>
      </c>
      <c r="G257" s="496">
        <v>293</v>
      </c>
      <c r="H257" s="495">
        <v>42731</v>
      </c>
      <c r="I257" s="496">
        <v>220</v>
      </c>
      <c r="J257" s="495">
        <v>43095</v>
      </c>
      <c r="K257" s="497">
        <v>167.13300000000001</v>
      </c>
      <c r="L257" s="495">
        <v>43461</v>
      </c>
      <c r="M257" s="497">
        <v>220.93700000000001</v>
      </c>
      <c r="N257" s="495">
        <v>43825</v>
      </c>
      <c r="O257" s="498">
        <v>164.78200000000001</v>
      </c>
      <c r="P257" s="495">
        <v>44189</v>
      </c>
      <c r="Q257" s="498">
        <v>206.61099999999999</v>
      </c>
      <c r="R257" s="495">
        <v>44558</v>
      </c>
      <c r="S257" s="498">
        <v>354.61500000000001</v>
      </c>
      <c r="T257" s="495">
        <v>44923</v>
      </c>
      <c r="U257" s="498">
        <v>367.49799999999999</v>
      </c>
      <c r="V257" s="495"/>
      <c r="W257" s="498"/>
    </row>
    <row r="258" spans="2:23">
      <c r="B258" s="495">
        <v>41638</v>
      </c>
      <c r="C258" s="496">
        <v>170</v>
      </c>
      <c r="D258" s="495">
        <v>42003</v>
      </c>
      <c r="E258" s="496">
        <v>191</v>
      </c>
      <c r="F258" s="495">
        <v>42341</v>
      </c>
      <c r="G258" s="496">
        <v>292</v>
      </c>
      <c r="H258" s="495">
        <v>42732</v>
      </c>
      <c r="I258" s="496">
        <v>224</v>
      </c>
      <c r="J258" s="495">
        <v>43096</v>
      </c>
      <c r="K258" s="497">
        <v>168.69499999999999</v>
      </c>
      <c r="L258" s="495">
        <v>43462</v>
      </c>
      <c r="M258" s="497">
        <v>223.19900000000001</v>
      </c>
      <c r="N258" s="495">
        <v>43826</v>
      </c>
      <c r="O258" s="498">
        <v>165.934</v>
      </c>
      <c r="P258" s="495">
        <v>44193</v>
      </c>
      <c r="Q258" s="498">
        <v>206.65199999999999</v>
      </c>
      <c r="R258" s="495">
        <v>44559</v>
      </c>
      <c r="S258" s="498">
        <v>349.26900000000001</v>
      </c>
      <c r="T258" s="495">
        <v>44924</v>
      </c>
      <c r="U258" s="498">
        <v>370.17399999999998</v>
      </c>
      <c r="V258" s="495"/>
      <c r="W258" s="498"/>
    </row>
    <row r="259" spans="2:23">
      <c r="B259" s="495">
        <v>41639</v>
      </c>
      <c r="C259" s="496">
        <v>166</v>
      </c>
      <c r="D259" s="495">
        <v>42004</v>
      </c>
      <c r="E259" s="496">
        <v>196</v>
      </c>
      <c r="F259" s="495">
        <v>42342</v>
      </c>
      <c r="G259" s="496">
        <v>293</v>
      </c>
      <c r="H259" s="495">
        <v>42733</v>
      </c>
      <c r="I259" s="496">
        <v>226</v>
      </c>
      <c r="J259" s="495">
        <v>43097</v>
      </c>
      <c r="K259" s="497">
        <v>170.215</v>
      </c>
      <c r="L259" s="495">
        <v>43465</v>
      </c>
      <c r="M259" s="497">
        <v>227.68700000000001</v>
      </c>
      <c r="N259" s="495">
        <v>43829</v>
      </c>
      <c r="O259" s="498">
        <v>165.57</v>
      </c>
      <c r="P259" s="495">
        <v>44194</v>
      </c>
      <c r="Q259" s="498">
        <v>205.06</v>
      </c>
      <c r="R259" s="495">
        <v>44560</v>
      </c>
      <c r="S259" s="498">
        <v>352.44099999999997</v>
      </c>
      <c r="T259" s="495">
        <v>44925</v>
      </c>
      <c r="U259" s="498">
        <v>369.23899999999998</v>
      </c>
      <c r="V259" s="495"/>
      <c r="W259" s="498"/>
    </row>
    <row r="260" spans="2:23">
      <c r="C260" s="499"/>
      <c r="F260" s="495">
        <v>42345</v>
      </c>
      <c r="G260" s="496">
        <v>307</v>
      </c>
      <c r="H260" s="495">
        <v>42734</v>
      </c>
      <c r="I260" s="496">
        <v>227</v>
      </c>
      <c r="J260" s="495">
        <v>43098</v>
      </c>
      <c r="K260" s="497">
        <v>174.69300000000001</v>
      </c>
      <c r="N260" s="495">
        <v>43830</v>
      </c>
      <c r="O260" s="498">
        <v>161.35</v>
      </c>
      <c r="P260" s="495">
        <v>44195</v>
      </c>
      <c r="Q260" s="498">
        <v>205.626</v>
      </c>
      <c r="R260" s="500"/>
      <c r="S260" s="501"/>
      <c r="T260" s="500"/>
      <c r="U260" s="501"/>
      <c r="V260" s="502"/>
      <c r="W260" s="498"/>
    </row>
    <row r="261" spans="2:23">
      <c r="C261" s="499"/>
      <c r="F261" s="495">
        <v>42346</v>
      </c>
      <c r="G261" s="496">
        <v>312</v>
      </c>
      <c r="H261" s="500"/>
      <c r="I261" s="503"/>
      <c r="J261" s="500"/>
      <c r="K261" s="504"/>
      <c r="P261" s="495">
        <v>44196</v>
      </c>
      <c r="Q261" s="498">
        <v>205.55600000000001</v>
      </c>
      <c r="R261" s="500"/>
      <c r="S261" s="501"/>
      <c r="T261" s="500"/>
      <c r="U261" s="501"/>
      <c r="V261" s="502"/>
      <c r="W261" s="498"/>
    </row>
    <row r="262" spans="2:23">
      <c r="C262" s="499"/>
      <c r="F262" s="495">
        <v>42347</v>
      </c>
      <c r="G262" s="496">
        <v>311</v>
      </c>
      <c r="H262" s="500"/>
      <c r="I262" s="503"/>
      <c r="J262" s="500"/>
      <c r="K262" s="504"/>
    </row>
    <row r="263" spans="2:23">
      <c r="C263" s="499"/>
      <c r="F263" s="495">
        <v>42348</v>
      </c>
      <c r="G263" s="496">
        <v>318</v>
      </c>
      <c r="H263" s="500"/>
      <c r="I263" s="503"/>
      <c r="J263" s="500"/>
      <c r="K263" s="504"/>
    </row>
    <row r="264" spans="2:23">
      <c r="C264" s="499"/>
      <c r="F264" s="495">
        <v>42349</v>
      </c>
      <c r="G264" s="496">
        <v>342</v>
      </c>
      <c r="H264" s="500"/>
      <c r="I264" s="503"/>
      <c r="J264" s="500"/>
      <c r="K264" s="504"/>
    </row>
    <row r="265" spans="2:23">
      <c r="C265" s="499"/>
      <c r="F265" s="495">
        <v>42352</v>
      </c>
      <c r="G265" s="496">
        <v>338</v>
      </c>
      <c r="H265" s="500"/>
      <c r="I265" s="503"/>
    </row>
    <row r="266" spans="2:23">
      <c r="C266" s="499"/>
      <c r="F266" s="495">
        <v>42353</v>
      </c>
      <c r="G266" s="496">
        <v>325</v>
      </c>
      <c r="H266" s="500"/>
      <c r="I266" s="503"/>
    </row>
    <row r="267" spans="2:23">
      <c r="C267" s="499"/>
      <c r="F267" s="495">
        <v>42354</v>
      </c>
      <c r="G267" s="496">
        <v>325</v>
      </c>
      <c r="H267" s="500"/>
      <c r="I267" s="503"/>
    </row>
    <row r="268" spans="2:23">
      <c r="C268" s="499"/>
      <c r="F268" s="495">
        <v>42355</v>
      </c>
      <c r="G268" s="496">
        <v>321</v>
      </c>
      <c r="H268" s="500"/>
      <c r="I268" s="503"/>
    </row>
    <row r="269" spans="2:23">
      <c r="C269" s="499"/>
      <c r="F269" s="495">
        <v>42356</v>
      </c>
      <c r="G269" s="496">
        <v>330</v>
      </c>
      <c r="H269" s="500"/>
      <c r="I269" s="503"/>
    </row>
    <row r="270" spans="2:23">
      <c r="C270" s="499"/>
      <c r="F270" s="495">
        <v>42359</v>
      </c>
      <c r="G270" s="496">
        <v>329</v>
      </c>
      <c r="H270" s="500"/>
      <c r="I270" s="503"/>
    </row>
    <row r="271" spans="2:23">
      <c r="C271" s="499"/>
      <c r="F271" s="495">
        <v>42360</v>
      </c>
      <c r="G271" s="496">
        <v>324</v>
      </c>
      <c r="H271" s="500"/>
      <c r="I271" s="503"/>
    </row>
    <row r="272" spans="2:23">
      <c r="C272" s="499"/>
      <c r="F272" s="495">
        <v>42361</v>
      </c>
      <c r="G272" s="496">
        <v>320</v>
      </c>
      <c r="H272" s="500"/>
      <c r="I272" s="503"/>
    </row>
    <row r="273" spans="3:9">
      <c r="C273" s="499"/>
      <c r="F273" s="495">
        <v>42362</v>
      </c>
      <c r="G273" s="496">
        <v>323</v>
      </c>
      <c r="H273" s="500"/>
      <c r="I273" s="503"/>
    </row>
    <row r="274" spans="3:9">
      <c r="C274" s="499"/>
      <c r="F274" s="495">
        <v>42366</v>
      </c>
      <c r="G274" s="496">
        <v>324</v>
      </c>
      <c r="H274" s="500"/>
      <c r="I274" s="503"/>
    </row>
    <row r="275" spans="3:9">
      <c r="C275" s="499"/>
      <c r="F275" s="495">
        <v>42367</v>
      </c>
      <c r="G275" s="496">
        <v>311</v>
      </c>
      <c r="H275" s="500"/>
      <c r="I275" s="503"/>
    </row>
    <row r="276" spans="3:9">
      <c r="C276" s="499"/>
      <c r="F276" s="495">
        <v>42368</v>
      </c>
      <c r="G276" s="496">
        <v>316</v>
      </c>
      <c r="H276" s="500"/>
      <c r="I276" s="503"/>
    </row>
    <row r="277" spans="3:9">
      <c r="C277" s="499"/>
      <c r="F277" s="495">
        <v>42369</v>
      </c>
      <c r="G277" s="496">
        <v>321</v>
      </c>
      <c r="H277" s="500"/>
      <c r="I277" s="503"/>
    </row>
    <row r="278" spans="3:9">
      <c r="C278" s="499"/>
    </row>
    <row r="279" spans="3:9">
      <c r="C279" s="499"/>
    </row>
    <row r="280" spans="3:9">
      <c r="C280" s="499"/>
    </row>
    <row r="281" spans="3:9">
      <c r="C281" s="499"/>
    </row>
    <row r="282" spans="3:9">
      <c r="C282" s="499"/>
    </row>
    <row r="283" spans="3:9">
      <c r="C283" s="499"/>
    </row>
    <row r="284" spans="3:9">
      <c r="C284" s="499"/>
    </row>
    <row r="285" spans="3:9">
      <c r="C285" s="499"/>
    </row>
    <row r="286" spans="3:9">
      <c r="C286" s="499"/>
    </row>
    <row r="287" spans="3:9">
      <c r="C287" s="499"/>
    </row>
    <row r="288" spans="3:9">
      <c r="C288" s="499"/>
    </row>
    <row r="289" spans="3:3">
      <c r="C289" s="499"/>
    </row>
    <row r="290" spans="3:3">
      <c r="C290" s="499"/>
    </row>
    <row r="291" spans="3:3">
      <c r="C291" s="499"/>
    </row>
    <row r="292" spans="3:3">
      <c r="C292" s="499"/>
    </row>
    <row r="293" spans="3:3">
      <c r="C293" s="499"/>
    </row>
    <row r="294" spans="3:3">
      <c r="C294" s="499"/>
    </row>
    <row r="295" spans="3:3">
      <c r="C295" s="499"/>
    </row>
    <row r="296" spans="3:3">
      <c r="C296" s="499"/>
    </row>
    <row r="297" spans="3:3">
      <c r="C297" s="499"/>
    </row>
    <row r="298" spans="3:3">
      <c r="C298" s="499"/>
    </row>
    <row r="299" spans="3:3">
      <c r="C299" s="499"/>
    </row>
    <row r="300" spans="3:3">
      <c r="C300" s="499"/>
    </row>
    <row r="301" spans="3:3">
      <c r="C301" s="499"/>
    </row>
    <row r="302" spans="3:3">
      <c r="C302" s="499"/>
    </row>
    <row r="303" spans="3:3">
      <c r="C303" s="499"/>
    </row>
    <row r="304" spans="3:3">
      <c r="C304" s="499"/>
    </row>
  </sheetData>
  <mergeCells count="12">
    <mergeCell ref="T7:U7"/>
    <mergeCell ref="V7:W7"/>
    <mergeCell ref="J7:K7"/>
    <mergeCell ref="L7:M7"/>
    <mergeCell ref="N7:O7"/>
    <mergeCell ref="P7:Q7"/>
    <mergeCell ref="R7:S7"/>
    <mergeCell ref="B2:C2"/>
    <mergeCell ref="B7:C7"/>
    <mergeCell ref="D7:E7"/>
    <mergeCell ref="F7:G7"/>
    <mergeCell ref="H7:I7"/>
  </mergeCells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Ppto</vt:lpstr>
      <vt:lpstr>EEFFs</vt:lpstr>
      <vt:lpstr>Evaluación</vt:lpstr>
      <vt:lpstr>CCPP</vt:lpstr>
      <vt:lpstr>Comercial</vt:lpstr>
      <vt:lpstr>Macro</vt:lpstr>
      <vt:lpstr>Retornos</vt:lpstr>
      <vt:lpstr>Betas</vt:lpstr>
      <vt:lpstr>EMBI</vt:lpstr>
      <vt:lpstr>Costo de Equipos</vt:lpstr>
      <vt:lpstr>OPEX</vt:lpstr>
      <vt:lpstr>Ingresos</vt:lpstr>
      <vt:lpstr>Gráficos</vt:lpstr>
      <vt:lpstr>Indicadores</vt:lpstr>
      <vt:lpstr>Capital</vt:lpstr>
      <vt:lpstr>Deuda</vt:lpstr>
      <vt:lpstr>Error</vt:lpstr>
      <vt:lpstr>FM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Final</dc:creator>
  <dc:description/>
  <cp:lastModifiedBy>DANIEL LEONARDO</cp:lastModifiedBy>
  <cp:revision>0</cp:revision>
  <dcterms:created xsi:type="dcterms:W3CDTF">2008-04-04T00:15:00Z</dcterms:created>
  <dcterms:modified xsi:type="dcterms:W3CDTF">2023-12-02T03:25:29Z</dcterms:modified>
  <dc:language>en-US</dc:language>
</cp:coreProperties>
</file>